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ЭтаКнига" defaultThemeVersion="124226"/>
  <mc:AlternateContent xmlns:mc="http://schemas.openxmlformats.org/markup-compatibility/2006">
    <mc:Choice Requires="x15">
      <x15ac:absPath xmlns:x15ac="http://schemas.microsoft.com/office/spreadsheetml/2010/11/ac" url="Y:\ДОКУМЕНТЫ К МОНИТОРИНГУ ОТКРЫТЫХ ДАННЫХ\документы к отчету за 2024 год\проект решения по исполнению бюджета за 2024 год\Приложения к решению от 05.2025\"/>
    </mc:Choice>
  </mc:AlternateContent>
  <bookViews>
    <workbookView xWindow="-15" yWindow="765" windowWidth="15255" windowHeight="11130"/>
  </bookViews>
  <sheets>
    <sheet name="2024" sheetId="19" r:id="rId1"/>
  </sheets>
  <definedNames>
    <definedName name="_xlnm._FilterDatabase" localSheetId="0" hidden="1">'2024'!$A$52:$J$164</definedName>
    <definedName name="_xlnm.Print_Titles" localSheetId="0">'2024'!$7:$7</definedName>
    <definedName name="_xlnm.Print_Area" localSheetId="0">'2024'!$A$1:$F$164</definedName>
  </definedNames>
  <calcPr calcId="152511"/>
</workbook>
</file>

<file path=xl/calcChain.xml><?xml version="1.0" encoding="utf-8"?>
<calcChain xmlns="http://schemas.openxmlformats.org/spreadsheetml/2006/main">
  <c r="D195" i="19" l="1"/>
  <c r="C91" i="19" l="1"/>
  <c r="C100" i="19" l="1"/>
  <c r="D146" i="19" l="1"/>
  <c r="D196" i="19" l="1"/>
  <c r="D194" i="19"/>
  <c r="D193" i="19"/>
  <c r="D192" i="19"/>
  <c r="D189" i="19"/>
  <c r="D188" i="19"/>
  <c r="D187" i="19"/>
  <c r="D197" i="19" s="1"/>
  <c r="D186" i="19"/>
  <c r="D185" i="19"/>
  <c r="D184" i="19"/>
  <c r="D183" i="19"/>
  <c r="C183" i="19"/>
  <c r="D182" i="19"/>
  <c r="D181" i="19"/>
  <c r="D180" i="19"/>
  <c r="D179" i="19"/>
  <c r="D178" i="19"/>
  <c r="D177" i="19"/>
  <c r="D176" i="19"/>
  <c r="D175" i="19"/>
  <c r="D171" i="19"/>
  <c r="D170" i="19"/>
  <c r="D169" i="19"/>
  <c r="D168" i="19"/>
  <c r="D100" i="19"/>
  <c r="D125" i="19"/>
  <c r="D123" i="19"/>
  <c r="D132" i="19"/>
  <c r="D140" i="19"/>
  <c r="D138" i="19"/>
  <c r="D136" i="19"/>
  <c r="D134" i="19"/>
  <c r="D130" i="19"/>
  <c r="D112" i="19"/>
  <c r="D108" i="19"/>
  <c r="D106" i="19"/>
  <c r="D99" i="19"/>
  <c r="D91" i="19"/>
  <c r="D93" i="19"/>
  <c r="D95" i="19"/>
  <c r="D90" i="19" l="1"/>
  <c r="D52" i="19" s="1"/>
  <c r="D119" i="19"/>
  <c r="D103" i="19"/>
  <c r="D88" i="19"/>
  <c r="D86" i="19"/>
  <c r="D64" i="19"/>
  <c r="D84" i="19"/>
  <c r="D80" i="19"/>
  <c r="D70" i="19"/>
  <c r="D72" i="19"/>
  <c r="D76" i="19"/>
  <c r="D68" i="19"/>
  <c r="D66" i="19"/>
  <c r="D78" i="19"/>
  <c r="D74" i="19"/>
  <c r="D57" i="19"/>
  <c r="D61" i="19"/>
  <c r="D56" i="19" l="1"/>
  <c r="F11" i="19" l="1"/>
  <c r="F12" i="19"/>
  <c r="F13" i="19"/>
  <c r="F14" i="19"/>
  <c r="F15" i="19"/>
  <c r="F16" i="19"/>
  <c r="F17" i="19"/>
  <c r="F18" i="19"/>
  <c r="F20" i="19"/>
  <c r="F21" i="19"/>
  <c r="F22" i="19"/>
  <c r="F23" i="19"/>
  <c r="F25" i="19"/>
  <c r="F26" i="19"/>
  <c r="F28" i="19"/>
  <c r="F29" i="19"/>
  <c r="F31" i="19"/>
  <c r="F32" i="19"/>
  <c r="F33" i="19"/>
  <c r="F34" i="19"/>
  <c r="F37" i="19"/>
  <c r="F38" i="19"/>
  <c r="F39" i="19"/>
  <c r="F40" i="19"/>
  <c r="F41" i="19"/>
  <c r="F43" i="19"/>
  <c r="F45" i="19"/>
  <c r="F47" i="19"/>
  <c r="F48" i="19"/>
  <c r="F49" i="19"/>
  <c r="F50" i="19"/>
  <c r="F51" i="19"/>
  <c r="F53" i="19"/>
  <c r="F54" i="19"/>
  <c r="F55" i="19"/>
  <c r="F56" i="19"/>
  <c r="F57" i="19"/>
  <c r="F58" i="19"/>
  <c r="F59" i="19"/>
  <c r="F60" i="19"/>
  <c r="F61" i="19"/>
  <c r="F62" i="19"/>
  <c r="F63" i="19"/>
  <c r="F64" i="19"/>
  <c r="F65" i="19"/>
  <c r="F66" i="19"/>
  <c r="F67" i="19"/>
  <c r="F68" i="19"/>
  <c r="F69" i="19"/>
  <c r="F70" i="19"/>
  <c r="F71" i="19"/>
  <c r="F72" i="19"/>
  <c r="F73" i="19"/>
  <c r="F74" i="19"/>
  <c r="F75" i="19"/>
  <c r="F76" i="19"/>
  <c r="F77" i="19"/>
  <c r="F78" i="19"/>
  <c r="F79" i="19"/>
  <c r="F80" i="19"/>
  <c r="F81" i="19"/>
  <c r="F82" i="19"/>
  <c r="F83" i="19"/>
  <c r="F84" i="19"/>
  <c r="F85" i="19"/>
  <c r="F86" i="19"/>
  <c r="F87" i="19"/>
  <c r="F88" i="19"/>
  <c r="F89" i="19"/>
  <c r="F91" i="19"/>
  <c r="F92" i="19"/>
  <c r="F93" i="19"/>
  <c r="F94" i="19"/>
  <c r="F95" i="19"/>
  <c r="F96" i="19"/>
  <c r="F97" i="19"/>
  <c r="F98" i="19"/>
  <c r="F100" i="19"/>
  <c r="F101" i="19"/>
  <c r="F102" i="19"/>
  <c r="F103" i="19"/>
  <c r="F104" i="19"/>
  <c r="F105" i="19"/>
  <c r="F106" i="19"/>
  <c r="F107" i="19"/>
  <c r="F108" i="19"/>
  <c r="F109" i="19"/>
  <c r="F110" i="19"/>
  <c r="F111" i="19"/>
  <c r="F112" i="19"/>
  <c r="F113" i="19"/>
  <c r="F114" i="19"/>
  <c r="F116" i="19"/>
  <c r="F117" i="19"/>
  <c r="F118" i="19"/>
  <c r="F119" i="19"/>
  <c r="F120" i="19"/>
  <c r="F121" i="19"/>
  <c r="F122" i="19"/>
  <c r="F123" i="19"/>
  <c r="F124" i="19"/>
  <c r="F126" i="19"/>
  <c r="F127" i="19"/>
  <c r="F128" i="19"/>
  <c r="F130" i="19"/>
  <c r="F131" i="19"/>
  <c r="F132" i="19"/>
  <c r="F133" i="19"/>
  <c r="F134" i="19"/>
  <c r="F135" i="19"/>
  <c r="F136" i="19"/>
  <c r="F137" i="19"/>
  <c r="F138" i="19"/>
  <c r="F139" i="19"/>
  <c r="F140" i="19"/>
  <c r="F141" i="19"/>
  <c r="F142" i="19"/>
  <c r="F143" i="19"/>
  <c r="F144" i="19"/>
  <c r="F145" i="19"/>
  <c r="F147" i="19"/>
  <c r="F148" i="19"/>
  <c r="F149" i="19"/>
  <c r="F150" i="19"/>
  <c r="F151" i="19"/>
  <c r="F152" i="19"/>
  <c r="F153" i="19"/>
  <c r="F154" i="19"/>
  <c r="F155" i="19"/>
  <c r="F156" i="19"/>
  <c r="F157" i="19"/>
  <c r="F158" i="19"/>
  <c r="F162" i="19"/>
  <c r="F163" i="19"/>
  <c r="E11" i="19"/>
  <c r="E12" i="19"/>
  <c r="E13" i="19"/>
  <c r="E14" i="19"/>
  <c r="E15" i="19"/>
  <c r="E16" i="19"/>
  <c r="E17" i="19"/>
  <c r="E18" i="19"/>
  <c r="E20" i="19"/>
  <c r="E21" i="19"/>
  <c r="E22" i="19"/>
  <c r="E23" i="19"/>
  <c r="E25" i="19"/>
  <c r="E26" i="19"/>
  <c r="E28" i="19"/>
  <c r="E29" i="19"/>
  <c r="E31" i="19"/>
  <c r="E32" i="19"/>
  <c r="E33" i="19"/>
  <c r="E34" i="19"/>
  <c r="E37" i="19"/>
  <c r="E38" i="19"/>
  <c r="E39" i="19"/>
  <c r="E40" i="19"/>
  <c r="E41" i="19"/>
  <c r="E43" i="19"/>
  <c r="E45" i="19"/>
  <c r="E47" i="19"/>
  <c r="E48" i="19"/>
  <c r="E49" i="19"/>
  <c r="E50" i="19"/>
  <c r="E51" i="19"/>
  <c r="E53" i="19"/>
  <c r="E54" i="19"/>
  <c r="E55" i="19"/>
  <c r="E56" i="19"/>
  <c r="E57" i="19"/>
  <c r="E58" i="19"/>
  <c r="E59" i="19"/>
  <c r="E60" i="19"/>
  <c r="E61" i="19"/>
  <c r="E62" i="19"/>
  <c r="E63" i="19"/>
  <c r="E64" i="19"/>
  <c r="E65" i="19"/>
  <c r="E66" i="19"/>
  <c r="E67" i="19"/>
  <c r="E68" i="19"/>
  <c r="E69" i="19"/>
  <c r="E70" i="19"/>
  <c r="E71" i="19"/>
  <c r="E72" i="19"/>
  <c r="E73" i="19"/>
  <c r="E74" i="19"/>
  <c r="E75" i="19"/>
  <c r="E76" i="19"/>
  <c r="E77" i="19"/>
  <c r="E78" i="19"/>
  <c r="E79" i="19"/>
  <c r="E80" i="19"/>
  <c r="E81" i="19"/>
  <c r="E82" i="19"/>
  <c r="E83" i="19"/>
  <c r="E84" i="19"/>
  <c r="E85" i="19"/>
  <c r="E86" i="19"/>
  <c r="E87" i="19"/>
  <c r="E88" i="19"/>
  <c r="E89" i="19"/>
  <c r="E91" i="19"/>
  <c r="E92" i="19"/>
  <c r="E93" i="19"/>
  <c r="E94" i="19"/>
  <c r="E95" i="19"/>
  <c r="E96" i="19"/>
  <c r="E97" i="19"/>
  <c r="E98" i="19"/>
  <c r="E100" i="19"/>
  <c r="E101" i="19"/>
  <c r="E102" i="19"/>
  <c r="E103" i="19"/>
  <c r="E104" i="19"/>
  <c r="E105" i="19"/>
  <c r="E106" i="19"/>
  <c r="E107" i="19"/>
  <c r="E108" i="19"/>
  <c r="E109" i="19"/>
  <c r="E110" i="19"/>
  <c r="E111" i="19"/>
  <c r="E112" i="19"/>
  <c r="E113" i="19"/>
  <c r="E114" i="19"/>
  <c r="E116" i="19"/>
  <c r="E117" i="19"/>
  <c r="E118" i="19"/>
  <c r="E119" i="19"/>
  <c r="E120" i="19"/>
  <c r="E121" i="19"/>
  <c r="E122" i="19"/>
  <c r="E123" i="19"/>
  <c r="E124" i="19"/>
  <c r="E126" i="19"/>
  <c r="E127" i="19"/>
  <c r="E128" i="19"/>
  <c r="E130" i="19"/>
  <c r="E131" i="19"/>
  <c r="E132" i="19"/>
  <c r="E133" i="19"/>
  <c r="E134" i="19"/>
  <c r="E135" i="19"/>
  <c r="E136" i="19"/>
  <c r="E137" i="19"/>
  <c r="E138" i="19"/>
  <c r="E139" i="19"/>
  <c r="E140" i="19"/>
  <c r="E141" i="19"/>
  <c r="E142" i="19"/>
  <c r="E143" i="19"/>
  <c r="E144" i="19"/>
  <c r="E145" i="19"/>
  <c r="E147" i="19"/>
  <c r="E148" i="19"/>
  <c r="E149" i="19"/>
  <c r="E150" i="19"/>
  <c r="E151" i="19"/>
  <c r="E152" i="19"/>
  <c r="E153" i="19"/>
  <c r="E154" i="19"/>
  <c r="E155" i="19"/>
  <c r="E156" i="19"/>
  <c r="E157" i="19"/>
  <c r="E158" i="19"/>
  <c r="E159" i="19"/>
  <c r="E160" i="19"/>
  <c r="E161" i="19"/>
  <c r="E162" i="19"/>
  <c r="E163" i="19"/>
  <c r="D115" i="19"/>
  <c r="E115" i="19" l="1"/>
  <c r="F115" i="19"/>
  <c r="D144" i="19"/>
  <c r="C148" i="19"/>
  <c r="D159" i="19"/>
  <c r="C159" i="19"/>
  <c r="D149" i="19"/>
  <c r="D148" i="19" s="1"/>
  <c r="D157" i="19"/>
  <c r="D155" i="19"/>
  <c r="D151" i="19"/>
  <c r="D153" i="19"/>
  <c r="D142" i="19"/>
  <c r="C143" i="19"/>
  <c r="D121" i="19"/>
  <c r="D82" i="19"/>
  <c r="D54" i="19"/>
  <c r="D42" i="19"/>
  <c r="D24" i="19"/>
  <c r="D10" i="19"/>
  <c r="D44" i="19"/>
  <c r="D36" i="19"/>
  <c r="D19" i="19"/>
  <c r="D35" i="19" l="1"/>
  <c r="F146" i="19"/>
  <c r="E146" i="19"/>
  <c r="D9" i="19"/>
  <c r="D8" i="19" l="1"/>
  <c r="D164" i="19"/>
  <c r="C31" i="19"/>
  <c r="C30" i="19" s="1"/>
  <c r="C28" i="19"/>
  <c r="C27" i="19"/>
  <c r="E27" i="19" l="1"/>
  <c r="F27" i="19"/>
  <c r="F30" i="19"/>
  <c r="E30" i="19"/>
  <c r="C116" i="19"/>
  <c r="C194" i="19" l="1"/>
  <c r="C62" i="19"/>
  <c r="C63" i="19"/>
  <c r="C58" i="19"/>
  <c r="C60" i="19"/>
  <c r="C153" i="19" l="1"/>
  <c r="C127" i="19"/>
  <c r="C99" i="19"/>
  <c r="C92" i="19"/>
  <c r="C150" i="19"/>
  <c r="C145" i="19"/>
  <c r="C133" i="19"/>
  <c r="C114" i="19"/>
  <c r="E99" i="19" l="1"/>
  <c r="F99" i="19"/>
  <c r="C111" i="19"/>
  <c r="C96" i="19"/>
  <c r="C94" i="19"/>
  <c r="C87" i="19"/>
  <c r="C81" i="19"/>
  <c r="C75" i="19"/>
  <c r="C73" i="19"/>
  <c r="C65" i="19"/>
  <c r="C54" i="19"/>
  <c r="C170" i="19" l="1"/>
  <c r="C147" i="19" l="1"/>
  <c r="C47" i="19" l="1"/>
  <c r="C59" i="19" l="1"/>
  <c r="C89" i="19" l="1"/>
  <c r="C117" i="19"/>
  <c r="C113" i="19"/>
  <c r="C102" i="19"/>
  <c r="C123" i="19" l="1"/>
  <c r="C125" i="19" l="1"/>
  <c r="F125" i="19" l="1"/>
  <c r="E125" i="19"/>
  <c r="C120" i="19"/>
  <c r="C157" i="19" l="1"/>
  <c r="C195" i="19"/>
  <c r="C44" i="19" l="1"/>
  <c r="C19" i="19"/>
  <c r="E19" i="19" l="1"/>
  <c r="F19" i="19"/>
  <c r="F44" i="19"/>
  <c r="E44" i="19"/>
  <c r="C137" i="19"/>
  <c r="C98" i="19" l="1"/>
  <c r="C97" i="19"/>
  <c r="C155" i="19" l="1"/>
  <c r="C193" i="19" l="1"/>
  <c r="C173" i="19" l="1"/>
  <c r="C196" i="19" l="1"/>
  <c r="C192" i="19"/>
  <c r="C190" i="19"/>
  <c r="C189" i="19"/>
  <c r="C188" i="19"/>
  <c r="C186" i="19"/>
  <c r="C185" i="19"/>
  <c r="C184" i="19"/>
  <c r="C182" i="19"/>
  <c r="C181" i="19"/>
  <c r="C180" i="19"/>
  <c r="C179" i="19"/>
  <c r="C178" i="19"/>
  <c r="C177" i="19"/>
  <c r="C176" i="19"/>
  <c r="C175" i="19"/>
  <c r="C174" i="19"/>
  <c r="C172" i="19"/>
  <c r="C171" i="19"/>
  <c r="C169" i="19"/>
  <c r="C168" i="19"/>
  <c r="C95" i="19" l="1"/>
  <c r="C142" i="19"/>
  <c r="C115" i="19"/>
  <c r="C88" i="19"/>
  <c r="C86" i="19"/>
  <c r="C72" i="19"/>
  <c r="C46" i="19" l="1"/>
  <c r="F46" i="19" l="1"/>
  <c r="E46" i="19"/>
  <c r="C93" i="19"/>
  <c r="C112" i="19"/>
  <c r="C146" i="19"/>
  <c r="C144" i="19"/>
  <c r="C140" i="19"/>
  <c r="C138" i="19"/>
  <c r="C10" i="19" l="1"/>
  <c r="F10" i="19" l="1"/>
  <c r="E10" i="19"/>
  <c r="C136" i="19"/>
  <c r="C134" i="19" l="1"/>
  <c r="C132" i="19" l="1"/>
  <c r="C103" i="19" l="1"/>
  <c r="C130" i="19" l="1"/>
  <c r="C151" i="19"/>
  <c r="C36" i="19" l="1"/>
  <c r="C42" i="19"/>
  <c r="E42" i="19" l="1"/>
  <c r="F42" i="19"/>
  <c r="E36" i="19"/>
  <c r="F36" i="19"/>
  <c r="C35" i="19"/>
  <c r="F35" i="19" l="1"/>
  <c r="E35" i="19"/>
  <c r="C24" i="19"/>
  <c r="C9" i="19" l="1"/>
  <c r="E24" i="19"/>
  <c r="F24" i="19"/>
  <c r="C109" i="19"/>
  <c r="C187" i="19" s="1"/>
  <c r="C8" i="19" l="1"/>
  <c r="F9" i="19"/>
  <c r="E9" i="19"/>
  <c r="C197" i="19"/>
  <c r="C149" i="19"/>
  <c r="C121" i="19"/>
  <c r="F8" i="19" l="1"/>
  <c r="E8" i="19"/>
  <c r="C84" i="19"/>
  <c r="C119" i="19" l="1"/>
  <c r="C57" i="19" l="1"/>
  <c r="C108" i="19" l="1"/>
  <c r="C106" i="19"/>
  <c r="C101" i="19"/>
  <c r="C82" i="19"/>
  <c r="C76" i="19"/>
  <c r="C70" i="19"/>
  <c r="C68" i="19"/>
  <c r="C66" i="19"/>
  <c r="C61" i="19" l="1"/>
  <c r="C110" i="19" l="1"/>
  <c r="C90" i="19" s="1"/>
  <c r="C80" i="19"/>
  <c r="C78" i="19"/>
  <c r="C74" i="19"/>
  <c r="F90" i="19" l="1"/>
  <c r="E90" i="19"/>
  <c r="E164" i="19" s="1"/>
  <c r="C64" i="19"/>
  <c r="C56" i="19" s="1"/>
  <c r="C52" i="19" s="1"/>
  <c r="F52" i="19" l="1"/>
  <c r="E52" i="19"/>
  <c r="C164" i="19"/>
</calcChain>
</file>

<file path=xl/sharedStrings.xml><?xml version="1.0" encoding="utf-8"?>
<sst xmlns="http://schemas.openxmlformats.org/spreadsheetml/2006/main" count="257" uniqueCount="194">
  <si>
    <t>Штрафные санкции, возмещение ущерба</t>
  </si>
  <si>
    <t>Государственная пошлина</t>
  </si>
  <si>
    <t>Единый сельскохозяйственный налог</t>
  </si>
  <si>
    <t>Платежи при пользовании природными ресурсами</t>
  </si>
  <si>
    <t>Доходы от продажи материальных и нематериальных активов</t>
  </si>
  <si>
    <t>Наименование</t>
  </si>
  <si>
    <t>Доходы от оказания платных услуг и компенсации затрат государства</t>
  </si>
  <si>
    <t>000 1 11 09044 04 0000 120</t>
  </si>
  <si>
    <t>Налоговые и неналоговые доходы</t>
  </si>
  <si>
    <t>000 1 11 05012 04 0000 120</t>
  </si>
  <si>
    <t>Тыс.руб.</t>
  </si>
  <si>
    <t>Транспортный налог</t>
  </si>
  <si>
    <t xml:space="preserve">Земельный налог </t>
  </si>
  <si>
    <t xml:space="preserve">Субвенция на реализацию Закона Сахалинской области "О наделении органов местного самоуправления государственными полномочиями Сахалинской области в сфере образования" </t>
  </si>
  <si>
    <t>Субвенция на реализацию Закона Сахалинской области " О наделении органов местного самоуправления государственными полномочиями Сахалинской области  по регистрации и учету граждан, имеющих право на получение жилищных субсидий в связи с переселением из районов Крайнего Севера  и приравненных к ним местностей"</t>
  </si>
  <si>
    <t>Субвенция на реализацию Закона Сахалинской области "Об  административных комиссиях в Сахалинской области"</t>
  </si>
  <si>
    <t>Субвенция на реализацию Закона Сахалинской области "О наделении органов местного самоуправления  государственными полномочиями Сахалинской области по формированию и обеспечению деятельности комиссий по  делам несовершеннолетних и защите их прав"</t>
  </si>
  <si>
    <t xml:space="preserve">Субвенция на реализацию Закона Сахалинской области "О дополнительных мерах социальной поддержки отдельной категории педагогических работников ,  проживающих и работающих в Сахалинской области" </t>
  </si>
  <si>
    <t>Субвенция на реализацию Закона Сахалинской области "О  социальной поддержке отдельных категорий граждан, проживающих и работающих в сельской местности, поселках городского типа  на территории Сахалинской области, и о наделении органов местного самоуправления отдельными государственными полномочиями Сахалинской области по оказанию социальной поддержки "</t>
  </si>
  <si>
    <t>Субвенция на реализацию Закона Сахалинской области "О наделении органов местного самоуправления государственными полномочиями Сахалинской области по опеке и попечительству"</t>
  </si>
  <si>
    <t>Субвенция на реализацию Закона Сахалинской области "О содействии в  создании временных рабочих мест для трудоустройства несовершеннолетних граждан в возрасте от 14 до 18 лет в свободное от учебы время и о наделении органов местного самоуправления отдельными государственными полномочиями Сахалинской области в сфере занятости несовершеннолетних граждан в возрасте от 14 до 18 лет в свободное от учебы время"</t>
  </si>
  <si>
    <t>Субвенция на реализацию Закона Сахалинской  области "О наделении органов местного самоуправления государственными полномочиями Сахалинской области по оказанию гражданам бесплатной юридической помощи"</t>
  </si>
  <si>
    <t>Дотация на поддержку мер по обеспечению сбалансированности местных бюджетов</t>
  </si>
  <si>
    <t>Субсидии бюджетам городских округов на софинансирование капитальных вложений в объекты муниципальной собственности</t>
  </si>
  <si>
    <t>Итого доходов</t>
  </si>
  <si>
    <t>Субвенции  - всего, в том числе</t>
  </si>
  <si>
    <t xml:space="preserve">Субсидии -всего, в том числе </t>
  </si>
  <si>
    <t>Субвенция на реализацию Закона Сахалинской области "О наделении органов местного самоуправления государственными полномочиями Сахалинской области по обеспечению питанием и молоком обучающихся в образовательных организациях"</t>
  </si>
  <si>
    <t>Субвенция из областного бюджета Сахалинской области,  за счет субвенции из федерального бюджета на осуществление государственных полномочий по составлению (изменению) списков кандидатов в присяжные заседатели федеральных судов общей юрисдикции в Российской Федерации</t>
  </si>
  <si>
    <t>000 1 11 05074 04 0000 120</t>
  </si>
  <si>
    <t>Доходы от сдачи в аренду имущества, составляющего казну городских округов (за исключением земельных участков)</t>
  </si>
  <si>
    <t>Доходы бюджетов городских округов от возврата  организациями остатков субсидий прошлых лет</t>
  </si>
  <si>
    <t>Субвенции бюджетам городских округов на выполнение передаваемых полномочий субъектов Российской Федерации</t>
  </si>
  <si>
    <t>Субвенции бюджетам городских округов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</si>
  <si>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Субвенции бюджетам городских округов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</si>
  <si>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Прочие субсидии бюджетам городских округов</t>
  </si>
  <si>
    <t>Прочие поступления от использования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</si>
  <si>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Доходы от продажи земельных участков, государственная собственность на которые не разграничена и которые расположены в границах городских округов</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</si>
  <si>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</si>
  <si>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</si>
  <si>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Налог на доходы физических лиц с доходов, полученных физическими лицами в соответствии со статьей 228 Налогового кодекса Российской Федерации</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</si>
  <si>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</si>
  <si>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904 202 29999 04 0000 150</t>
  </si>
  <si>
    <t>904 2 02 30024 04 0000 150</t>
  </si>
  <si>
    <t>904 2 02 30027 04 0000 150</t>
  </si>
  <si>
    <t>904 2 02 35082 04 0000 150</t>
  </si>
  <si>
    <t>9042 02 30024 04 0000 150</t>
  </si>
  <si>
    <t>9042 02 30029 04 0000 150</t>
  </si>
  <si>
    <t>904 2 02 35120 04 0000 150</t>
  </si>
  <si>
    <t>904 202 25027 04 0000 150</t>
  </si>
  <si>
    <t>904 219 60010 04 0000 150</t>
  </si>
  <si>
    <t>000 218 0000 00 0000 150</t>
  </si>
  <si>
    <t>904 2 02 15002 04 0000 150</t>
  </si>
  <si>
    <t>904 2 02 20077 04 0000 150</t>
  </si>
  <si>
    <t>Субвенция муниципальным образованиям Сахалинской области на реализацию Закона Сахалинской области "Об обращении с животными без владельцев в Сахалинской области и наделении органов местного самоуправления государственными полномочиями Сахалинской области по организации проведения на территории Сахалинской области мероприятий при осуществлении деятельности по обращению с животными без владельцев"</t>
  </si>
  <si>
    <t xml:space="preserve">       К О Д</t>
  </si>
  <si>
    <t xml:space="preserve">Субвенция муниципальным образованиям Сахалинской области на реализацию Закона Сахалинской области "О социальной поддержке граждан, являющихся родителями (законными представителями) детей, посещающих частные организации, осуществляющие присмотр и уход за детьми, и о наделении органов местного самоуправления государственными полномочиями Сахалинской области по предоставлению социальной поддержки" </t>
  </si>
  <si>
    <t>Субсидии бюджетам городских округов на реализацию мероприятий государственной программы Российской Федерации "Доступная среда"</t>
  </si>
  <si>
    <t>Субсидия муниципальным образованиям на поддержку муниципальных программ формирования современной городской среды</t>
  </si>
  <si>
    <t>Субсидия муниципальным образованиям Сахалинской области на развитие культуры</t>
  </si>
  <si>
    <t>Межбюджетные трансферты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</si>
  <si>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904 202 45303 04 0000 150</t>
  </si>
  <si>
    <t>Субсидия муниципальным образованиям Сахалинской области на развитие образования</t>
  </si>
  <si>
    <t>Субсидия муниципальным образованиям Сахалинской области на обеспечение населения качественным жильем</t>
  </si>
  <si>
    <t>Субсидия муниципальным образованиям Сахалинской области на осуществление мероприятий по повышению качества предоставляемых жилищно-коммунальных услуг</t>
  </si>
  <si>
    <t>Субсидия муниципальным образованиям Сахалинской области на организацию электро-, тепло-, газоснабжения</t>
  </si>
  <si>
    <t>Субсидия муниципальным образованиям Сахалинской области на софинансирование расходов муниципальных образований в сфере транспорта и дорожного хозяйства</t>
  </si>
  <si>
    <t>Субсидия муниципальным образованиям Сахалинской области на развитие агропромышленного комплекса</t>
  </si>
  <si>
    <t>Субсидия муниципальным образованиям Сахалинской области на проведение комплексных кадастровых работ</t>
  </si>
  <si>
    <t>Субсидия муниципальным образованиям Сахалинской области на софинансирование капитальных вложений в объекты муниципальной собственности</t>
  </si>
  <si>
    <t>Субсидия муниципальным образованиям Сахалинской области на обеспечение доступности приоритетных объектов и услуг в приоритетных сферах  жизнедеятельности на территории муниципальных образований Сахалинской области</t>
  </si>
  <si>
    <t>Субсидия муниципальным образованиям Сахалинской области на реализацию в Сахалинской области общественно значимых проектов в рамках проекта "Молодежный бюджет"</t>
  </si>
  <si>
    <t>904 202 25555 04 0000 150</t>
  </si>
  <si>
    <t>Субсидии бюджетам городских округов на реализацию программ формирования современной городской среды</t>
  </si>
  <si>
    <t>000 207 00000 00 0000 150</t>
  </si>
  <si>
    <t xml:space="preserve">Иные межбюджетные трансферты -всего, в том числе </t>
  </si>
  <si>
    <t>налоговые</t>
  </si>
  <si>
    <t>неналоговые</t>
  </si>
  <si>
    <t xml:space="preserve">Доходы от использования имущества, находящегося в  государственной  и муниципальной собственности, или от деятельности                                           </t>
  </si>
  <si>
    <t xml:space="preserve">Налоги на прибыль, доходы                   </t>
  </si>
  <si>
    <t>Прочие неналоговые</t>
  </si>
  <si>
    <t>114</t>
  </si>
  <si>
    <t xml:space="preserve">Налоги на совокупный доход             </t>
  </si>
  <si>
    <t>904 2 02 15001 04 0000 150</t>
  </si>
  <si>
    <t>Дотация на выравнивание уровня минимальной бюджетной обеспеченности из фонда финансовой поддержки муниципальных образований Сахалинской области</t>
  </si>
  <si>
    <t>Межбюджетные трансферты</t>
  </si>
  <si>
    <t>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t>
  </si>
  <si>
    <t>Налог, взимаемый в связи с применением упрощенной системы налогообложения</t>
  </si>
  <si>
    <t>Налог, взимаемый в связи с применением патентной системы налогообложения, зачисляемый в бюджеты городских округов</t>
  </si>
  <si>
    <t>Налоги на имущество</t>
  </si>
  <si>
    <t>Налог на имущество физических лиц, взимаемый по ставкам, применяемым к объектам налогообложения, расположенным в границах городских округов</t>
  </si>
  <si>
    <t>Налог на имущество организаций по имуществу, не входящему в Единую систему газоснабжения</t>
  </si>
  <si>
    <t>Транспортный налог с организаций</t>
  </si>
  <si>
    <t>Транспортный налог с физических лиц</t>
  </si>
  <si>
    <t>Земельный налог с организаций</t>
  </si>
  <si>
    <t>Земельный налог с физических лиц, обладающих земельным участком, расположенным в границах городских округов</t>
  </si>
  <si>
    <t>000 105 01000 01 1000 110</t>
  </si>
  <si>
    <t>000 105 04010 02 1000 110</t>
  </si>
  <si>
    <t>000 1 06 02010 02 1000 110</t>
  </si>
  <si>
    <t>000  1 01 02010 01 1000 110</t>
  </si>
  <si>
    <t>000 1 01 02020 01 1000 110</t>
  </si>
  <si>
    <t>000 1 01 02030 01 1000 110</t>
  </si>
  <si>
    <t>000 1 01 02040 01 1000 110</t>
  </si>
  <si>
    <t>000 1 01 0208001 1000 110</t>
  </si>
  <si>
    <t>000 106 06000 04 1000 110</t>
  </si>
  <si>
    <t>000 105 03000 01 1000 110</t>
  </si>
  <si>
    <t>000 106 01020 04 1000 110</t>
  </si>
  <si>
    <t>000 106 04000 02 1000 110</t>
  </si>
  <si>
    <t>000 106 04011 02 1000 110</t>
  </si>
  <si>
    <t>000 106 04012 02 1000 110</t>
  </si>
  <si>
    <t>000 106 06042 04 0000 110</t>
  </si>
  <si>
    <t>000 106 06032 04 0000 110</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</si>
  <si>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</si>
  <si>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000 108 03010 01 0000 110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</si>
  <si>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округов, а также средства от продажи права на заключение договоров аренды указанных земельных участков</t>
  </si>
  <si>
    <t>Плата по соглашениям об установлении сервитута, заключенным органами местного самоуправления городских округов, государственными или муниципальными предприятиями либо государственными или муниципальными учреждениями в отношении земельных участков, государственная собственность на которые не разграничена и которые расположены в границах городских округов</t>
  </si>
  <si>
    <t>000 111 05312 04 0000 120</t>
  </si>
  <si>
    <t xml:space="preserve">Плата за негативное воздействие на окружающую среду
</t>
  </si>
  <si>
    <t>000 112 01000 01 0000 120</t>
  </si>
  <si>
    <t>Прочие доходы от компенсации затрат бюджетов городских округов</t>
  </si>
  <si>
    <t>000 113 02994 04 0000 130</t>
  </si>
  <si>
    <t>000 114 06012 04 0000 430</t>
  </si>
  <si>
    <t>Доходы от реализации иного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</si>
  <si>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000 114 02043 04 0000 410</t>
  </si>
  <si>
    <t>Налоги на товары (работы, услуги), реализуемые на территории Российской Федерации</t>
  </si>
  <si>
    <t>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собственности городских округов, и на землях или земельных участках, государственная собственность на которые не разграничена</t>
  </si>
  <si>
    <t>000 111 09080 04 0000 120</t>
  </si>
  <si>
    <t>904 202 45179 04 0000 150</t>
  </si>
  <si>
    <t>Межбюджетные трансферты, передаваемые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</si>
  <si>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904 202 25519 04 0000 150</t>
  </si>
  <si>
    <t>Субсидии бюджетам городских округов на поддержку отрасли культуры</t>
  </si>
  <si>
    <t>Субсидии бюджетам городских округов на обеспечение комплексного развития сельских территорий</t>
  </si>
  <si>
    <t>Субсидия муниципальным образованиям Сахалинской области на обеспечение комплексного развития сельских территорий</t>
  </si>
  <si>
    <t>904 202 25576 04 0000 150</t>
  </si>
  <si>
    <t>904 2 02 25511 04 0000 150</t>
  </si>
  <si>
    <t>Субсидии бюджетам городских округов на проведение комплексных кадастровых работ</t>
  </si>
  <si>
    <t>Субсидия муниципальным образованиям Сахалинской области на реализацию инициативных проектов в Сахалинской области</t>
  </si>
  <si>
    <t xml:space="preserve"> Субсидия муниципальным образованиям Сахалинской области на реализацию мероприятий по созданию условий для управления многоквартирными домами</t>
  </si>
  <si>
    <t>Субсидия муниципальным образованиям Сахалинской области на развитие физической культуры и спорта</t>
  </si>
  <si>
    <t>000 1 01 0213001 1000 110</t>
  </si>
  <si>
    <t>Налог на доходы физических лиц в отношении доходов от долевого участия в организации, полученных в виде дивидендов (в части суммы налога, не превышающей 650 000 рублей)</t>
  </si>
  <si>
    <t>000 1 01 0214001 1000 110</t>
  </si>
  <si>
    <t>Налог на доходы физических лиц в отношении доходов от долевого участия в организации, полученных в виде дивидендов (в части суммы налога, превышающей 650 000 рублей)</t>
  </si>
  <si>
    <t>Субсидия муниципальным образованиям Сахалинской области на софинансирование мероприятий муниципальных программ по поддержке и развитию субъектов малого и среднего предпринимательства, физических лиц, не являющихся индивидуальными предпринимателями и применяющих специальный налоговый режим "Налог на профессиональный доход", организаций, образующих инфраструктуру поддержки субъектов малого и среднего предпринимательства</t>
  </si>
  <si>
    <t>Субсидия муниципальным образованиям Сахалинской области на создание условий для развития туризма</t>
  </si>
  <si>
    <t>Субсидия муниципальным образованиям Сахалинской области на проведение комплекса мероприятий по уничтожению борщевика Сосновского</t>
  </si>
  <si>
    <t xml:space="preserve">Субсидия муниципальным образованиям Сахалинской области на реализацию мероприятий по обеспечению питанием отдельных категорий обучающихся в муниципальных образовательных организациях
</t>
  </si>
  <si>
    <t>Субсидия муниципальным образованиям Сахалинской области на софинансирование расходов, связанных с реализацией концессионных соглашений</t>
  </si>
  <si>
    <t>Субсидия муниципальным образованиям Сахалинской области на реализацию мероприятий по рекультивации объектов размещения отходов, земель (территорий) на которых они размещены</t>
  </si>
  <si>
    <t xml:space="preserve">Субсидия муниципальным образованиям Сахалинской области на улучшение жилищных условий молодых семей </t>
  </si>
  <si>
    <t>Межбюджетные трансферты предоставляемые из областного бюджета Сахалинской области местным бюджетам, источником финансового обеспечения которых являются иные межбюджетные трансферты из федерального бюджета, на обеспечение выплат ежемесячного денежного вознаграждения за классное руководство педагогическим работникам муниципальных образовательных организаций, реализующих образовательные программы начального общего, основного общего и среднего общего образования</t>
  </si>
  <si>
    <t>Межбюджетные трансферты, передаваемые бюджетам городских округов на финансовое обеспечение мероприятий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 расположенных на территории Сахалинской области</t>
  </si>
  <si>
    <t>Субвенции бюджетам городских округов на содержание ребенка в семье опекуна и приемной семье, а также вознаграждение, причитающееся приемному родителю</t>
  </si>
  <si>
    <t>Субвенции бюджетам городских округов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</si>
  <si>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Возврат прочих остатков субсидий, субвенций и иных межбюджетных трансфертов, имеющих целевое назначение, прошлых лет</t>
  </si>
  <si>
    <t>Субвенции  на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t>
  </si>
  <si>
    <t>Прочие субвенции бюджетам городских округов</t>
  </si>
  <si>
    <t>904 2 02 39999 04 0000150</t>
  </si>
  <si>
    <t>Субвенции на обеспечение гос. гарантий реализации прав граждан на получение общедоступного и бесплатного дошкольного образования</t>
  </si>
  <si>
    <t>9042 02 20300 04 0000 150</t>
  </si>
  <si>
    <t>Субсидии бюджетам городских округов на обеспечение мероприятий по модернизации систем коммунальной инфраструктуры за счет средств, поступивших от публично-правовой компании "Фонд развития территорий"</t>
  </si>
  <si>
    <t>904 2 02 20303 04 0000 150</t>
  </si>
  <si>
    <t>Субсидии бюджетам городских округов на обеспечение мероприятий по модернизации систем коммунальной инфраструктуры за счет средств бюджетов</t>
  </si>
  <si>
    <t>904 202 20299 04 0000 150</t>
  </si>
  <si>
    <t>Субсидии бюджетам городских округов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поступивших от государственной корпорации - Фонда содействия реформированию жилищно-коммунального хозяйства</t>
  </si>
  <si>
    <t>904 202 20302 04 0000 150</t>
  </si>
  <si>
    <t>Субсидии бюджетам городских округов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бюджетов</t>
  </si>
  <si>
    <t>90420225497040000150</t>
  </si>
  <si>
    <t>Субсидии бюджетам на реализацию мероприятий по обеспечению жильем молодых семей</t>
  </si>
  <si>
    <t>904 202 25304 04 0000150</t>
  </si>
  <si>
    <t>Субсидии бюджетам городских округов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</si>
  <si>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904 202 27576 04 0000 150</t>
  </si>
  <si>
    <t>Субсидии бюджетам городских округов на софинансирование капитальных вложений в объекты государственной (муниципальной) собственности в рамках обеспечения комплексного развития сельских территорий</t>
  </si>
  <si>
    <t xml:space="preserve">Прочие безвозмездные поступления в бюджеты городских округов </t>
  </si>
  <si>
    <t>Иные межбюджетные трансферты на мероприятия по осуществлению территориального общественного самоуправления</t>
  </si>
  <si>
    <t>904 202 49999 04 0000 150</t>
  </si>
  <si>
    <t>Прочие межбюджетные трансферты, передаваемые бюджетам городских округов</t>
  </si>
  <si>
    <t>Иные межбюджетные трансферты на проведение мероприятий по поддержке развития садоводства и огородничества</t>
  </si>
  <si>
    <t>Субсидия муниципальным образованиям Сахалинской области на поддержку отрасли культуры</t>
  </si>
  <si>
    <t>000 105 02000 01 1000 110</t>
  </si>
  <si>
    <t xml:space="preserve"> Единый налог на вмененный доход для отдельных видов деятельности</t>
  </si>
  <si>
    <t>Дотации (гранты) бюджетам городских округов за достижение показателей деятельности органов местного самоуправления</t>
  </si>
  <si>
    <t>904 2 02 16549 04 0000 150</t>
  </si>
  <si>
    <t>Иные межбюджетные трансферты, предоставляемые из областного бюджета Сахалинской области местным бюджетам, источником финансового обеспечения которых являются иные межбюджетные трансферты из федерального бюджета,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в муниципальных общеобразовательных организациях</t>
  </si>
  <si>
    <t>Межбюджетные трансферты, передаваемые бюджетам городских округов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 организаций и профессиональных образовательных организаций</t>
  </si>
  <si>
    <t>904 2 02 45050 04 0000 150</t>
  </si>
  <si>
    <t>план</t>
  </si>
  <si>
    <t>исполнение</t>
  </si>
  <si>
    <t>,+/-</t>
  </si>
  <si>
    <t>%</t>
  </si>
  <si>
    <t xml:space="preserve">     Объем доходов бюджета муниципального образования "Анивский городской округ" за  2024 год</t>
  </si>
  <si>
    <t xml:space="preserve">к решению Собрания                                                                                                            Анивского городского округа                                                    от  № </t>
  </si>
  <si>
    <t>Приложение 1</t>
  </si>
  <si>
    <t>Расходы за счет резервного фонда Правительства Сахалинской области на предупреждение и (или) ликвидацию ЧС</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</si>
</sst>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_-* #,##0.00_р_._-;\-* #,##0.00_р_._-;_-* &quot;-&quot;??_р_._-;_-@_-"/>
    <numFmt numFmtId="165" formatCode="#,##0.0"/>
    <numFmt numFmtId="166" formatCode="_-* #,##0.0_р_._-;\-* #,##0.0_р_._-;_-* &quot;-&quot;??_р_._-;_-@_-"/>
    <numFmt numFmtId="167" formatCode="#,##0.0_ ;\-#,##0.0\ "/>
    <numFmt numFmtId="168" formatCode="0.0%"/>
    <numFmt numFmtId="169" formatCode="_-* #,##0.0\ _₽_-;\-* #,##0.0\ _₽_-;_-* &quot;-&quot;?\ _₽_-;_-@_-"/>
  </numFmts>
  <fonts count="20" x14ac:knownFonts="1">
    <font>
      <sz val="10"/>
      <name val="Arial Cyr"/>
      <charset val="204"/>
    </font>
    <font>
      <sz val="10"/>
      <name val="Arial Cyr"/>
      <charset val="204"/>
    </font>
    <font>
      <sz val="12"/>
      <name val="Times New Roman"/>
      <family val="1"/>
      <charset val="204"/>
    </font>
    <font>
      <b/>
      <sz val="12"/>
      <name val="Times New Roman"/>
      <family val="1"/>
      <charset val="204"/>
    </font>
    <font>
      <sz val="8"/>
      <name val="Arial Cyr"/>
      <charset val="204"/>
    </font>
    <font>
      <sz val="10"/>
      <name val="Times New Roman"/>
      <family val="1"/>
      <charset val="204"/>
    </font>
    <font>
      <sz val="8"/>
      <name val="Times New Roman"/>
      <family val="1"/>
      <charset val="204"/>
    </font>
    <font>
      <b/>
      <i/>
      <sz val="14"/>
      <name val="Times New Roman"/>
      <family val="1"/>
      <charset val="204"/>
    </font>
    <font>
      <b/>
      <sz val="14"/>
      <name val="Times New Roman"/>
      <family val="1"/>
      <charset val="204"/>
    </font>
    <font>
      <i/>
      <sz val="12"/>
      <name val="Times New Roman"/>
      <family val="1"/>
      <charset val="204"/>
    </font>
    <font>
      <b/>
      <sz val="16"/>
      <name val="Times New Roman"/>
      <family val="1"/>
      <charset val="204"/>
    </font>
    <font>
      <i/>
      <sz val="8"/>
      <name val="Times New Roman"/>
      <family val="1"/>
      <charset val="204"/>
    </font>
    <font>
      <sz val="9"/>
      <name val="Times New Roman"/>
      <family val="1"/>
      <charset val="204"/>
    </font>
    <font>
      <b/>
      <i/>
      <sz val="12"/>
      <name val="Times New Roman"/>
      <family val="1"/>
      <charset val="204"/>
    </font>
    <font>
      <b/>
      <sz val="11"/>
      <name val="Times New Roman"/>
      <family val="1"/>
      <charset val="204"/>
    </font>
    <font>
      <sz val="11"/>
      <name val="Times New Roman"/>
      <family val="1"/>
      <charset val="204"/>
    </font>
    <font>
      <i/>
      <sz val="10"/>
      <name val="Times New Roman"/>
      <family val="1"/>
      <charset val="204"/>
    </font>
    <font>
      <sz val="14"/>
      <name val="Times New Roman"/>
      <family val="1"/>
      <charset val="204"/>
    </font>
    <font>
      <sz val="10"/>
      <color rgb="FFFF0000"/>
      <name val="Times New Roman"/>
      <family val="1"/>
      <charset val="204"/>
    </font>
    <font>
      <sz val="10"/>
      <color rgb="FF000000"/>
      <name val="Arial Cyr"/>
    </font>
  </fonts>
  <fills count="2">
    <fill>
      <patternFill patternType="none"/>
    </fill>
    <fill>
      <patternFill patternType="gray125"/>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s>
  <cellStyleXfs count="4">
    <xf numFmtId="0" fontId="0" fillId="0" borderId="0"/>
    <xf numFmtId="164" fontId="1" fillId="0" borderId="0" applyFont="0" applyFill="0" applyBorder="0" applyAlignment="0" applyProtection="0"/>
    <xf numFmtId="9" fontId="1" fillId="0" borderId="0" applyFont="0" applyFill="0" applyBorder="0" applyAlignment="0" applyProtection="0"/>
    <xf numFmtId="4" fontId="19" fillId="0" borderId="5">
      <alignment horizontal="right" vertical="top" shrinkToFit="1"/>
    </xf>
  </cellStyleXfs>
  <cellXfs count="126">
    <xf numFmtId="0" fontId="0" fillId="0" borderId="0" xfId="0"/>
    <xf numFmtId="0" fontId="2" fillId="0" borderId="1" xfId="0" applyFont="1" applyFill="1" applyBorder="1" applyAlignment="1">
      <alignment vertical="center"/>
    </xf>
    <xf numFmtId="0" fontId="5" fillId="0" borderId="0" xfId="0" applyFont="1" applyFill="1"/>
    <xf numFmtId="0" fontId="2" fillId="0" borderId="1" xfId="0" applyFont="1" applyFill="1" applyBorder="1"/>
    <xf numFmtId="0" fontId="2" fillId="0" borderId="0" xfId="0" applyFont="1" applyFill="1" applyAlignment="1">
      <alignment horizontal="right"/>
    </xf>
    <xf numFmtId="0" fontId="6" fillId="0" borderId="0" xfId="0" applyFont="1" applyFill="1" applyAlignment="1">
      <alignment horizontal="right" vertical="center" wrapText="1"/>
    </xf>
    <xf numFmtId="0" fontId="2" fillId="0" borderId="0" xfId="0" applyFont="1" applyFill="1" applyBorder="1" applyAlignment="1">
      <alignment horizontal="center" vertical="top" wrapText="1"/>
    </xf>
    <xf numFmtId="0" fontId="2" fillId="0" borderId="3" xfId="0" applyFont="1" applyFill="1" applyBorder="1" applyAlignment="1">
      <alignment horizontal="center" vertical="top" wrapText="1"/>
    </xf>
    <xf numFmtId="4" fontId="2" fillId="0" borderId="3" xfId="0" applyNumberFormat="1" applyFont="1" applyFill="1" applyBorder="1" applyAlignment="1">
      <alignment horizontal="right" vertical="top" wrapText="1"/>
    </xf>
    <xf numFmtId="0" fontId="5" fillId="0" borderId="1" xfId="0" applyFont="1" applyFill="1" applyBorder="1" applyAlignment="1">
      <alignment horizontal="center" vertical="center"/>
    </xf>
    <xf numFmtId="0" fontId="2" fillId="0" borderId="1" xfId="0" applyFont="1" applyFill="1" applyBorder="1" applyAlignment="1">
      <alignment horizontal="center" vertical="center" wrapText="1"/>
    </xf>
    <xf numFmtId="0" fontId="3" fillId="0" borderId="1" xfId="0" applyFont="1" applyFill="1" applyBorder="1" applyAlignment="1">
      <alignment horizontal="justify" vertical="top" wrapText="1"/>
    </xf>
    <xf numFmtId="0" fontId="6" fillId="0" borderId="1" xfId="0" applyFont="1" applyFill="1" applyBorder="1"/>
    <xf numFmtId="0" fontId="3" fillId="0" borderId="1" xfId="0" applyFont="1" applyFill="1" applyBorder="1" applyAlignment="1">
      <alignment vertical="center"/>
    </xf>
    <xf numFmtId="49" fontId="6" fillId="0" borderId="1" xfId="0" applyNumberFormat="1" applyFont="1" applyFill="1" applyBorder="1" applyAlignment="1">
      <alignment vertical="top"/>
    </xf>
    <xf numFmtId="0" fontId="6" fillId="0" borderId="1" xfId="0" applyFont="1" applyFill="1" applyBorder="1" applyAlignment="1">
      <alignment vertical="center"/>
    </xf>
    <xf numFmtId="0" fontId="5" fillId="0" borderId="1" xfId="0" applyFont="1" applyFill="1" applyBorder="1" applyAlignment="1">
      <alignment vertical="center"/>
    </xf>
    <xf numFmtId="0" fontId="7" fillId="0" borderId="1" xfId="0" applyFont="1" applyFill="1" applyBorder="1" applyAlignment="1">
      <alignment horizontal="left" wrapText="1"/>
    </xf>
    <xf numFmtId="0" fontId="6" fillId="0" borderId="1" xfId="0" applyFont="1" applyFill="1" applyBorder="1" applyAlignment="1">
      <alignment wrapText="1"/>
    </xf>
    <xf numFmtId="0" fontId="3" fillId="0" borderId="1" xfId="0" applyFont="1" applyFill="1" applyBorder="1" applyAlignment="1">
      <alignment wrapText="1"/>
    </xf>
    <xf numFmtId="0" fontId="6" fillId="0" borderId="1" xfId="0" applyFont="1" applyFill="1" applyBorder="1" applyAlignment="1">
      <alignment horizontal="justify" vertical="top" wrapText="1"/>
    </xf>
    <xf numFmtId="49" fontId="11" fillId="0" borderId="1" xfId="0" applyNumberFormat="1" applyFont="1" applyFill="1" applyBorder="1" applyAlignment="1">
      <alignment wrapText="1"/>
    </xf>
    <xf numFmtId="49" fontId="6" fillId="0" borderId="1" xfId="0" applyNumberFormat="1" applyFont="1" applyFill="1" applyBorder="1" applyAlignment="1">
      <alignment wrapText="1"/>
    </xf>
    <xf numFmtId="165" fontId="3" fillId="0" borderId="1" xfId="1" applyNumberFormat="1" applyFont="1" applyFill="1" applyBorder="1" applyAlignment="1">
      <alignment horizontal="right" wrapText="1"/>
    </xf>
    <xf numFmtId="0" fontId="5" fillId="0" borderId="1" xfId="0" applyFont="1" applyFill="1" applyBorder="1" applyAlignment="1">
      <alignment horizontal="justify" vertical="top" wrapText="1"/>
    </xf>
    <xf numFmtId="49" fontId="3" fillId="0" borderId="1" xfId="0" applyNumberFormat="1" applyFont="1" applyFill="1" applyBorder="1"/>
    <xf numFmtId="0" fontId="10" fillId="0" borderId="1" xfId="0" applyFont="1" applyFill="1" applyBorder="1" applyAlignment="1">
      <alignment horizontal="right" vertical="top" wrapText="1"/>
    </xf>
    <xf numFmtId="167" fontId="8" fillId="0" borderId="1" xfId="0" applyNumberFormat="1" applyFont="1" applyFill="1" applyBorder="1" applyAlignment="1">
      <alignment horizontal="right"/>
    </xf>
    <xf numFmtId="0" fontId="2" fillId="0" borderId="1" xfId="0" applyFont="1" applyFill="1" applyBorder="1" applyAlignment="1">
      <alignment horizontal="justify" vertical="center" wrapText="1"/>
    </xf>
    <xf numFmtId="0" fontId="12" fillId="0" borderId="1" xfId="0" applyFont="1" applyFill="1" applyBorder="1"/>
    <xf numFmtId="0" fontId="12" fillId="0" borderId="1" xfId="0" applyFont="1" applyFill="1" applyBorder="1" applyAlignment="1">
      <alignment wrapText="1"/>
    </xf>
    <xf numFmtId="0" fontId="3" fillId="0" borderId="1" xfId="0" applyFont="1" applyFill="1" applyBorder="1" applyAlignment="1">
      <alignment horizontal="center"/>
    </xf>
    <xf numFmtId="0" fontId="3" fillId="0" borderId="1" xfId="0" applyFont="1" applyFill="1" applyBorder="1" applyAlignment="1">
      <alignment horizontal="center" vertical="center"/>
    </xf>
    <xf numFmtId="0" fontId="12" fillId="0" borderId="1" xfId="0" applyFont="1" applyFill="1" applyBorder="1" applyAlignment="1">
      <alignment vertical="center"/>
    </xf>
    <xf numFmtId="0" fontId="12" fillId="0" borderId="1" xfId="0" applyFont="1" applyFill="1" applyBorder="1" applyAlignment="1">
      <alignment horizontal="left" vertical="top" wrapText="1"/>
    </xf>
    <xf numFmtId="0" fontId="3" fillId="0" borderId="1" xfId="0" applyFont="1" applyFill="1" applyBorder="1" applyAlignment="1">
      <alignment horizontal="left" wrapText="1"/>
    </xf>
    <xf numFmtId="0" fontId="3" fillId="0" borderId="1" xfId="0" applyFont="1" applyFill="1" applyBorder="1" applyAlignment="1">
      <alignment vertical="center" wrapText="1"/>
    </xf>
    <xf numFmtId="165" fontId="2" fillId="0" borderId="1" xfId="1" applyNumberFormat="1" applyFont="1" applyFill="1" applyBorder="1" applyAlignment="1">
      <alignment horizontal="right" vertical="top" wrapText="1"/>
    </xf>
    <xf numFmtId="0" fontId="12" fillId="0" borderId="1" xfId="0" applyFont="1" applyFill="1" applyBorder="1" applyAlignment="1">
      <alignment horizontal="justify" vertical="top" wrapText="1"/>
    </xf>
    <xf numFmtId="0" fontId="13" fillId="0" borderId="1" xfId="0" applyFont="1" applyFill="1" applyBorder="1"/>
    <xf numFmtId="49" fontId="13" fillId="0" borderId="1" xfId="0" applyNumberFormat="1" applyFont="1" applyFill="1" applyBorder="1" applyAlignment="1">
      <alignment wrapText="1"/>
    </xf>
    <xf numFmtId="0" fontId="13" fillId="0" borderId="1" xfId="0" applyFont="1" applyFill="1" applyBorder="1" applyAlignment="1">
      <alignment horizontal="justify" vertical="top" wrapText="1"/>
    </xf>
    <xf numFmtId="49" fontId="3" fillId="0" borderId="1" xfId="0" applyNumberFormat="1" applyFont="1" applyFill="1" applyBorder="1" applyAlignment="1">
      <alignment wrapText="1"/>
    </xf>
    <xf numFmtId="49" fontId="12" fillId="0" borderId="1" xfId="0" applyNumberFormat="1" applyFont="1" applyFill="1" applyBorder="1" applyAlignment="1">
      <alignment vertical="center" wrapText="1"/>
    </xf>
    <xf numFmtId="0" fontId="8" fillId="0" borderId="1" xfId="0" applyFont="1" applyFill="1" applyBorder="1" applyAlignment="1">
      <alignment wrapText="1"/>
    </xf>
    <xf numFmtId="49" fontId="3" fillId="0" borderId="1" xfId="0" applyNumberFormat="1" applyFont="1" applyFill="1" applyBorder="1" applyAlignment="1">
      <alignment horizontal="center"/>
    </xf>
    <xf numFmtId="0" fontId="14" fillId="0" borderId="1" xfId="0" applyFont="1" applyFill="1" applyBorder="1" applyAlignment="1">
      <alignment horizontal="center"/>
    </xf>
    <xf numFmtId="0" fontId="14" fillId="0" borderId="1" xfId="0" applyFont="1" applyFill="1" applyBorder="1" applyAlignment="1">
      <alignment wrapText="1"/>
    </xf>
    <xf numFmtId="0" fontId="7" fillId="0" borderId="1" xfId="0" applyFont="1" applyFill="1" applyBorder="1" applyAlignment="1">
      <alignment wrapText="1"/>
    </xf>
    <xf numFmtId="0" fontId="9" fillId="0" borderId="1" xfId="0" applyFont="1" applyFill="1" applyBorder="1" applyAlignment="1">
      <alignment horizontal="justify" vertical="top" wrapText="1"/>
    </xf>
    <xf numFmtId="0" fontId="12" fillId="0" borderId="1" xfId="0" applyFont="1" applyFill="1" applyBorder="1" applyAlignment="1">
      <alignment horizontal="left" vertical="center"/>
    </xf>
    <xf numFmtId="0" fontId="12" fillId="0" borderId="1" xfId="0" applyFont="1" applyFill="1" applyBorder="1" applyAlignment="1">
      <alignment horizontal="left"/>
    </xf>
    <xf numFmtId="0" fontId="15" fillId="0" borderId="1" xfId="0" applyFont="1" applyBorder="1" applyAlignment="1">
      <alignment horizontal="center" vertical="center" wrapText="1"/>
    </xf>
    <xf numFmtId="0" fontId="15" fillId="0" borderId="1" xfId="0" applyFont="1" applyBorder="1" applyAlignment="1">
      <alignment horizontal="justify" vertical="center" wrapText="1"/>
    </xf>
    <xf numFmtId="166" fontId="5" fillId="0" borderId="0" xfId="0" applyNumberFormat="1" applyFont="1" applyFill="1"/>
    <xf numFmtId="0" fontId="16" fillId="0" borderId="0" xfId="0" applyFont="1" applyFill="1"/>
    <xf numFmtId="4" fontId="5" fillId="0" borderId="0" xfId="0" applyNumberFormat="1" applyFont="1" applyFill="1"/>
    <xf numFmtId="4" fontId="12" fillId="0" borderId="0" xfId="0" applyNumberFormat="1" applyFont="1" applyFill="1"/>
    <xf numFmtId="0" fontId="12" fillId="0" borderId="0" xfId="0" applyFont="1" applyFill="1"/>
    <xf numFmtId="165" fontId="5" fillId="0" borderId="0" xfId="0" applyNumberFormat="1" applyFont="1" applyFill="1"/>
    <xf numFmtId="0" fontId="5" fillId="0" borderId="4" xfId="0" applyFont="1" applyFill="1" applyBorder="1" applyAlignment="1">
      <alignment horizontal="justify" vertical="top" wrapText="1"/>
    </xf>
    <xf numFmtId="167" fontId="5" fillId="0" borderId="0" xfId="0" applyNumberFormat="1" applyFont="1" applyFill="1"/>
    <xf numFmtId="0" fontId="17" fillId="0" borderId="1" xfId="0" applyFont="1" applyFill="1" applyBorder="1" applyAlignment="1">
      <alignment wrapText="1"/>
    </xf>
    <xf numFmtId="165" fontId="17" fillId="0" borderId="1" xfId="0" applyNumberFormat="1" applyFont="1" applyFill="1" applyBorder="1"/>
    <xf numFmtId="4" fontId="17" fillId="0" borderId="1" xfId="0" applyNumberFormat="1" applyFont="1" applyFill="1" applyBorder="1"/>
    <xf numFmtId="49" fontId="5" fillId="0" borderId="1" xfId="0" applyNumberFormat="1" applyFont="1" applyFill="1" applyBorder="1" applyAlignment="1">
      <alignment vertical="center"/>
    </xf>
    <xf numFmtId="49" fontId="5" fillId="0" borderId="1" xfId="0" applyNumberFormat="1" applyFont="1" applyFill="1" applyBorder="1" applyAlignment="1">
      <alignment vertical="center" wrapText="1"/>
    </xf>
    <xf numFmtId="0" fontId="18" fillId="0" borderId="0" xfId="0" applyFont="1" applyFill="1"/>
    <xf numFmtId="0" fontId="15" fillId="0" borderId="1" xfId="0" applyFont="1" applyBorder="1" applyAlignment="1">
      <alignment horizontal="left" vertical="center" wrapText="1"/>
    </xf>
    <xf numFmtId="0" fontId="15" fillId="0" borderId="4" xfId="0" applyFont="1" applyBorder="1" applyAlignment="1">
      <alignment wrapText="1"/>
    </xf>
    <xf numFmtId="0" fontId="5" fillId="0" borderId="2" xfId="0" applyFont="1" applyFill="1" applyBorder="1" applyAlignment="1">
      <alignment vertical="center" wrapText="1"/>
    </xf>
    <xf numFmtId="0" fontId="2" fillId="0" borderId="0" xfId="0" applyFont="1" applyFill="1" applyBorder="1" applyAlignment="1">
      <alignment vertical="center" wrapText="1"/>
    </xf>
    <xf numFmtId="0" fontId="15" fillId="0" borderId="0" xfId="0" applyFont="1" applyBorder="1" applyAlignment="1">
      <alignment wrapText="1"/>
    </xf>
    <xf numFmtId="0" fontId="5" fillId="0" borderId="1" xfId="0" applyFont="1" applyFill="1" applyBorder="1" applyAlignment="1">
      <alignment wrapText="1"/>
    </xf>
    <xf numFmtId="0" fontId="2" fillId="0" borderId="2" xfId="0" applyFont="1" applyFill="1" applyBorder="1" applyAlignment="1">
      <alignment vertical="center" wrapText="1"/>
    </xf>
    <xf numFmtId="0" fontId="5" fillId="0" borderId="0" xfId="0" applyFont="1" applyFill="1" applyAlignment="1">
      <alignment wrapText="1"/>
    </xf>
    <xf numFmtId="0" fontId="5" fillId="0" borderId="4" xfId="0" applyFont="1" applyBorder="1" applyAlignment="1">
      <alignment wrapText="1"/>
    </xf>
    <xf numFmtId="0" fontId="5" fillId="0" borderId="0" xfId="0" applyFont="1" applyFill="1" applyAlignment="1">
      <alignment vertical="top"/>
    </xf>
    <xf numFmtId="0" fontId="5" fillId="0" borderId="0" xfId="0" applyFont="1" applyFill="1" applyAlignment="1">
      <alignment horizontal="left" vertical="top" wrapText="1"/>
    </xf>
    <xf numFmtId="0" fontId="2" fillId="0" borderId="1" xfId="0" applyFont="1" applyFill="1" applyBorder="1" applyAlignment="1">
      <alignment horizontal="center" vertical="top" wrapText="1"/>
    </xf>
    <xf numFmtId="165" fontId="3" fillId="0" borderId="1" xfId="1" applyNumberFormat="1" applyFont="1" applyFill="1" applyBorder="1" applyAlignment="1">
      <alignment horizontal="right" vertical="top" wrapText="1"/>
    </xf>
    <xf numFmtId="165" fontId="13" fillId="0" borderId="1" xfId="1" applyNumberFormat="1" applyFont="1" applyFill="1" applyBorder="1" applyAlignment="1">
      <alignment horizontal="right" vertical="top" wrapText="1"/>
    </xf>
    <xf numFmtId="165" fontId="2" fillId="0" borderId="1" xfId="0" applyNumberFormat="1" applyFont="1" applyFill="1" applyBorder="1" applyAlignment="1">
      <alignment horizontal="right" vertical="top"/>
    </xf>
    <xf numFmtId="165" fontId="9" fillId="0" borderId="1" xfId="1" applyNumberFormat="1" applyFont="1" applyFill="1" applyBorder="1" applyAlignment="1">
      <alignment horizontal="right" vertical="top" wrapText="1"/>
    </xf>
    <xf numFmtId="165" fontId="2" fillId="0" borderId="1" xfId="1" applyNumberFormat="1" applyFont="1" applyFill="1" applyBorder="1" applyAlignment="1">
      <alignment horizontal="right" vertical="top"/>
    </xf>
    <xf numFmtId="165" fontId="3" fillId="0" borderId="1" xfId="1" applyNumberFormat="1" applyFont="1" applyFill="1" applyBorder="1" applyAlignment="1">
      <alignment horizontal="right" vertical="top"/>
    </xf>
    <xf numFmtId="166" fontId="3" fillId="0" borderId="1" xfId="1" applyNumberFormat="1" applyFont="1" applyFill="1" applyBorder="1" applyAlignment="1">
      <alignment horizontal="right" vertical="top" wrapText="1"/>
    </xf>
    <xf numFmtId="165" fontId="2" fillId="0" borderId="1" xfId="1" applyNumberFormat="1" applyFont="1" applyFill="1" applyBorder="1" applyAlignment="1">
      <alignment horizontal="left" vertical="top" wrapText="1"/>
    </xf>
    <xf numFmtId="165" fontId="3" fillId="0" borderId="1" xfId="0" applyNumberFormat="1" applyFont="1" applyFill="1" applyBorder="1" applyAlignment="1">
      <alignment vertical="top"/>
    </xf>
    <xf numFmtId="165" fontId="3" fillId="0" borderId="4" xfId="1" applyNumberFormat="1" applyFont="1" applyFill="1" applyBorder="1" applyAlignment="1">
      <alignment horizontal="right" vertical="top" wrapText="1"/>
    </xf>
    <xf numFmtId="165" fontId="2" fillId="0" borderId="4" xfId="1" applyNumberFormat="1" applyFont="1" applyFill="1" applyBorder="1" applyAlignment="1">
      <alignment horizontal="left" vertical="top" wrapText="1"/>
    </xf>
    <xf numFmtId="165" fontId="3" fillId="0" borderId="1" xfId="0" applyNumberFormat="1" applyFont="1" applyFill="1" applyBorder="1" applyAlignment="1">
      <alignment horizontal="right" vertical="top" wrapText="1"/>
    </xf>
    <xf numFmtId="165" fontId="2" fillId="0" borderId="1" xfId="0" applyNumberFormat="1" applyFont="1" applyFill="1" applyBorder="1" applyAlignment="1">
      <alignment horizontal="left" vertical="top" wrapText="1"/>
    </xf>
    <xf numFmtId="165" fontId="14" fillId="0" borderId="1" xfId="0" applyNumberFormat="1" applyFont="1" applyFill="1" applyBorder="1" applyAlignment="1">
      <alignment vertical="top"/>
    </xf>
    <xf numFmtId="167" fontId="8" fillId="0" borderId="1" xfId="0" applyNumberFormat="1" applyFont="1" applyFill="1" applyBorder="1" applyAlignment="1">
      <alignment horizontal="right" vertical="top"/>
    </xf>
    <xf numFmtId="165" fontId="17" fillId="0" borderId="1" xfId="0" applyNumberFormat="1" applyFont="1" applyFill="1" applyBorder="1" applyAlignment="1">
      <alignment vertical="top"/>
    </xf>
    <xf numFmtId="4" fontId="17" fillId="0" borderId="1" xfId="0" applyNumberFormat="1" applyFont="1" applyFill="1" applyBorder="1" applyAlignment="1">
      <alignment vertical="top"/>
    </xf>
    <xf numFmtId="164" fontId="5" fillId="0" borderId="0" xfId="1" applyFont="1" applyFill="1" applyAlignment="1">
      <alignment vertical="top"/>
    </xf>
    <xf numFmtId="4" fontId="5" fillId="0" borderId="0" xfId="0" applyNumberFormat="1" applyFont="1" applyFill="1" applyAlignment="1">
      <alignment vertical="top"/>
    </xf>
    <xf numFmtId="165" fontId="3" fillId="0" borderId="5" xfId="3" applyNumberFormat="1" applyFont="1" applyFill="1" applyAlignment="1" applyProtection="1">
      <alignment horizontal="right" vertical="top" shrinkToFit="1"/>
    </xf>
    <xf numFmtId="165" fontId="2" fillId="0" borderId="5" xfId="3" applyNumberFormat="1" applyFont="1" applyFill="1" applyAlignment="1" applyProtection="1">
      <alignment horizontal="right" vertical="top" shrinkToFit="1"/>
    </xf>
    <xf numFmtId="165" fontId="2" fillId="0" borderId="6" xfId="3" applyNumberFormat="1" applyFont="1" applyFill="1" applyBorder="1" applyAlignment="1" applyProtection="1">
      <alignment horizontal="right" vertical="top" shrinkToFit="1"/>
    </xf>
    <xf numFmtId="165" fontId="2" fillId="0" borderId="1" xfId="3" applyNumberFormat="1" applyFont="1" applyFill="1" applyBorder="1" applyAlignment="1" applyProtection="1">
      <alignment horizontal="right" vertical="top" shrinkToFit="1"/>
    </xf>
    <xf numFmtId="165" fontId="2" fillId="0" borderId="7" xfId="3" applyNumberFormat="1" applyFont="1" applyFill="1" applyBorder="1" applyAlignment="1" applyProtection="1">
      <alignment horizontal="right" vertical="top" shrinkToFit="1"/>
    </xf>
    <xf numFmtId="9" fontId="3" fillId="0" borderId="1" xfId="2" applyFont="1" applyFill="1" applyBorder="1" applyAlignment="1">
      <alignment horizontal="right" wrapText="1"/>
    </xf>
    <xf numFmtId="168" fontId="3" fillId="0" borderId="1" xfId="2" applyNumberFormat="1" applyFont="1" applyFill="1" applyBorder="1" applyAlignment="1">
      <alignment horizontal="right" wrapText="1"/>
    </xf>
    <xf numFmtId="169" fontId="5" fillId="0" borderId="0" xfId="0" applyNumberFormat="1" applyFont="1" applyFill="1"/>
    <xf numFmtId="0" fontId="2" fillId="0" borderId="2" xfId="0" applyFont="1" applyFill="1" applyBorder="1" applyAlignment="1">
      <alignment vertical="center" wrapText="1"/>
    </xf>
    <xf numFmtId="0" fontId="2" fillId="0" borderId="4" xfId="0" applyFont="1" applyFill="1" applyBorder="1" applyAlignment="1">
      <alignment vertical="center" wrapText="1"/>
    </xf>
    <xf numFmtId="0" fontId="5" fillId="0" borderId="4" xfId="0" applyFont="1" applyBorder="1" applyAlignment="1">
      <alignment wrapText="1"/>
    </xf>
    <xf numFmtId="0" fontId="2" fillId="0" borderId="2" xfId="0" applyFont="1" applyFill="1" applyBorder="1" applyAlignment="1">
      <alignment vertical="top" wrapText="1"/>
    </xf>
    <xf numFmtId="0" fontId="5" fillId="0" borderId="4" xfId="0" applyFont="1" applyBorder="1" applyAlignment="1">
      <alignment vertical="top" wrapText="1"/>
    </xf>
    <xf numFmtId="49" fontId="2" fillId="0" borderId="2" xfId="0" applyNumberFormat="1" applyFont="1" applyFill="1" applyBorder="1" applyAlignment="1">
      <alignment vertical="center" wrapText="1"/>
    </xf>
    <xf numFmtId="0" fontId="5" fillId="0" borderId="4" xfId="0" applyFont="1" applyFill="1" applyBorder="1" applyAlignment="1">
      <alignment vertical="center" wrapText="1"/>
    </xf>
    <xf numFmtId="0" fontId="2" fillId="0" borderId="4" xfId="0" applyFont="1" applyBorder="1" applyAlignment="1">
      <alignment wrapText="1"/>
    </xf>
    <xf numFmtId="0" fontId="5" fillId="0" borderId="4" xfId="0" applyFont="1" applyFill="1" applyBorder="1" applyAlignment="1">
      <alignment wrapText="1"/>
    </xf>
    <xf numFmtId="0" fontId="2" fillId="0" borderId="1" xfId="0" applyFont="1" applyFill="1" applyBorder="1" applyAlignment="1">
      <alignment horizontal="justify" vertical="top" wrapText="1"/>
    </xf>
    <xf numFmtId="0" fontId="5" fillId="0" borderId="1" xfId="0" applyFont="1" applyFill="1" applyBorder="1" applyAlignment="1"/>
    <xf numFmtId="0" fontId="3" fillId="0" borderId="0" xfId="0" applyFont="1" applyFill="1" applyAlignment="1">
      <alignment horizontal="center" wrapText="1"/>
    </xf>
    <xf numFmtId="0" fontId="5" fillId="0" borderId="0" xfId="0" applyFont="1" applyFill="1" applyAlignment="1">
      <alignment wrapText="1"/>
    </xf>
    <xf numFmtId="0" fontId="5" fillId="0" borderId="1" xfId="0" applyFont="1" applyFill="1" applyBorder="1" applyAlignment="1">
      <alignment wrapText="1"/>
    </xf>
    <xf numFmtId="49" fontId="2" fillId="0" borderId="1" xfId="0" applyNumberFormat="1" applyFont="1" applyFill="1" applyBorder="1" applyAlignment="1">
      <alignment vertical="center" wrapText="1"/>
    </xf>
    <xf numFmtId="0" fontId="2" fillId="0" borderId="1" xfId="0" applyFont="1" applyFill="1" applyBorder="1" applyAlignment="1">
      <alignment vertical="center" wrapText="1"/>
    </xf>
    <xf numFmtId="0" fontId="5" fillId="0" borderId="1" xfId="0" applyFont="1" applyBorder="1" applyAlignment="1">
      <alignment wrapText="1"/>
    </xf>
    <xf numFmtId="0" fontId="5" fillId="0" borderId="2" xfId="0" applyFont="1" applyFill="1" applyBorder="1" applyAlignment="1">
      <alignment vertical="center" wrapText="1"/>
    </xf>
    <xf numFmtId="0" fontId="0" fillId="0" borderId="4" xfId="0" applyBorder="1" applyAlignment="1">
      <alignment wrapText="1"/>
    </xf>
  </cellXfs>
  <cellStyles count="4">
    <cellStyle name="xl50" xfId="3"/>
    <cellStyle name="Обычный" xfId="0" builtinId="0"/>
    <cellStyle name="Процентный" xfId="2" builtinId="5"/>
    <cellStyle name="Финансовый" xfId="1" builtinId="3"/>
  </cellStyles>
  <dxfs count="0"/>
  <tableStyles count="0" defaultTableStyle="TableStyleMedium9" defaultPivotStyle="PivotStyleLight16"/>
  <colors>
    <mruColors>
      <color rgb="FFFFFFCC"/>
      <color rgb="FFCCECFF"/>
      <color rgb="FFDDFFFF"/>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02"/>
  <sheetViews>
    <sheetView tabSelected="1" topLeftCell="A154" zoomScaleNormal="100" zoomScaleSheetLayoutView="110" workbookViewId="0">
      <selection activeCell="A160" sqref="A160"/>
    </sheetView>
  </sheetViews>
  <sheetFormatPr defaultRowHeight="12.75" x14ac:dyDescent="0.2"/>
  <cols>
    <col min="1" max="1" width="28.85546875" style="2" customWidth="1"/>
    <col min="2" max="2" width="72.28515625" style="75" customWidth="1"/>
    <col min="3" max="4" width="19" style="77" customWidth="1"/>
    <col min="5" max="5" width="18.42578125" style="2" customWidth="1"/>
    <col min="6" max="6" width="20.42578125" style="2" customWidth="1"/>
    <col min="7" max="7" width="9.140625" style="2"/>
    <col min="8" max="8" width="13.5703125" style="2" bestFit="1" customWidth="1"/>
    <col min="9" max="9" width="13" style="2" customWidth="1"/>
    <col min="10" max="16384" width="9.140625" style="2"/>
  </cols>
  <sheetData>
    <row r="1" spans="1:10" ht="1.5" customHeight="1" x14ac:dyDescent="0.2"/>
    <row r="2" spans="1:10" ht="12.75" customHeight="1" x14ac:dyDescent="0.25">
      <c r="F2" s="4" t="s">
        <v>192</v>
      </c>
    </row>
    <row r="3" spans="1:10" ht="48" customHeight="1" x14ac:dyDescent="0.2">
      <c r="F3" s="5" t="s">
        <v>191</v>
      </c>
    </row>
    <row r="4" spans="1:10" ht="10.5" customHeight="1" x14ac:dyDescent="0.2">
      <c r="C4" s="78"/>
      <c r="D4" s="78"/>
    </row>
    <row r="5" spans="1:10" ht="16.5" customHeight="1" x14ac:dyDescent="0.25">
      <c r="A5" s="118" t="s">
        <v>190</v>
      </c>
      <c r="B5" s="118"/>
      <c r="C5" s="118"/>
      <c r="D5" s="118"/>
      <c r="E5" s="119"/>
      <c r="F5" s="119"/>
    </row>
    <row r="6" spans="1:10" ht="15.75" x14ac:dyDescent="0.2">
      <c r="A6" s="6"/>
      <c r="B6" s="7"/>
      <c r="F6" s="8" t="s">
        <v>10</v>
      </c>
    </row>
    <row r="7" spans="1:10" ht="24.75" customHeight="1" x14ac:dyDescent="0.2">
      <c r="A7" s="9" t="s">
        <v>55</v>
      </c>
      <c r="B7" s="10" t="s">
        <v>5</v>
      </c>
      <c r="C7" s="79" t="s">
        <v>186</v>
      </c>
      <c r="D7" s="79" t="s">
        <v>187</v>
      </c>
      <c r="E7" s="10" t="s">
        <v>188</v>
      </c>
      <c r="F7" s="10" t="s">
        <v>189</v>
      </c>
    </row>
    <row r="8" spans="1:10" ht="18.75" customHeight="1" x14ac:dyDescent="0.35">
      <c r="A8" s="3"/>
      <c r="B8" s="17" t="s">
        <v>8</v>
      </c>
      <c r="C8" s="80">
        <f>C9+C35</f>
        <v>708780.2</v>
      </c>
      <c r="D8" s="80">
        <f>D9+D35</f>
        <v>719152.39992999996</v>
      </c>
      <c r="E8" s="23">
        <f>D8-C8</f>
        <v>10372.199930000002</v>
      </c>
      <c r="F8" s="104">
        <f>D8/C8</f>
        <v>1.0146338737030183</v>
      </c>
      <c r="H8" s="54"/>
      <c r="I8" s="59"/>
    </row>
    <row r="9" spans="1:10" s="55" customFormat="1" ht="16.5" hidden="1" customHeight="1" x14ac:dyDescent="0.25">
      <c r="A9" s="39"/>
      <c r="B9" s="41" t="s">
        <v>76</v>
      </c>
      <c r="C9" s="81">
        <f>C10+C18+C19+C24+C33</f>
        <v>619645.69999999995</v>
      </c>
      <c r="D9" s="81">
        <f>D10+D18+D19+D24+D33</f>
        <v>629358.79992999998</v>
      </c>
      <c r="E9" s="23">
        <f t="shared" ref="E9:E72" si="0">D9-C9</f>
        <v>9713.0999300000258</v>
      </c>
      <c r="F9" s="104">
        <f t="shared" ref="F9:F72" si="1">D9/C9</f>
        <v>1.015675247855347</v>
      </c>
    </row>
    <row r="10" spans="1:10" ht="22.5" hidden="1" customHeight="1" x14ac:dyDescent="0.25">
      <c r="A10" s="32">
        <v>101</v>
      </c>
      <c r="B10" s="36" t="s">
        <v>79</v>
      </c>
      <c r="C10" s="80">
        <f>C15+C14+C13+C12+C11+C16+C17</f>
        <v>301254.09999999998</v>
      </c>
      <c r="D10" s="80">
        <f>D15+D14+D13+D12+D11+D16+D17</f>
        <v>311953.5</v>
      </c>
      <c r="E10" s="23">
        <f t="shared" si="0"/>
        <v>10699.400000000023</v>
      </c>
      <c r="F10" s="104">
        <f t="shared" si="1"/>
        <v>1.0355161971239562</v>
      </c>
      <c r="G10" s="56"/>
      <c r="H10" s="56"/>
      <c r="I10" s="56"/>
      <c r="J10" s="56"/>
    </row>
    <row r="11" spans="1:10" ht="20.25" hidden="1" customHeight="1" x14ac:dyDescent="0.25">
      <c r="A11" s="12" t="s">
        <v>99</v>
      </c>
      <c r="B11" s="18" t="s">
        <v>38</v>
      </c>
      <c r="C11" s="37">
        <v>281024.59999999998</v>
      </c>
      <c r="D11" s="37">
        <v>291644.2</v>
      </c>
      <c r="E11" s="23">
        <f t="shared" si="0"/>
        <v>10619.600000000035</v>
      </c>
      <c r="F11" s="105">
        <f t="shared" si="1"/>
        <v>1.0377888626120277</v>
      </c>
      <c r="G11" s="56"/>
      <c r="H11" s="56"/>
      <c r="I11" s="56"/>
      <c r="J11" s="56"/>
    </row>
    <row r="12" spans="1:10" ht="24.75" hidden="1" customHeight="1" x14ac:dyDescent="0.25">
      <c r="A12" s="12" t="s">
        <v>100</v>
      </c>
      <c r="B12" s="18" t="s">
        <v>39</v>
      </c>
      <c r="C12" s="37">
        <v>229</v>
      </c>
      <c r="D12" s="37">
        <v>229.8</v>
      </c>
      <c r="E12" s="23">
        <f t="shared" si="0"/>
        <v>0.80000000000001137</v>
      </c>
      <c r="F12" s="104">
        <f t="shared" si="1"/>
        <v>1.0034934497816594</v>
      </c>
      <c r="G12" s="56"/>
      <c r="H12" s="56"/>
      <c r="I12" s="56"/>
      <c r="J12" s="56"/>
    </row>
    <row r="13" spans="1:10" ht="22.5" hidden="1" customHeight="1" x14ac:dyDescent="0.25">
      <c r="A13" s="12" t="s">
        <v>101</v>
      </c>
      <c r="B13" s="18" t="s">
        <v>40</v>
      </c>
      <c r="C13" s="37">
        <v>4247.5</v>
      </c>
      <c r="D13" s="37">
        <v>4268.6000000000004</v>
      </c>
      <c r="E13" s="23">
        <f t="shared" si="0"/>
        <v>21.100000000000364</v>
      </c>
      <c r="F13" s="104">
        <f t="shared" si="1"/>
        <v>1.0049676280164803</v>
      </c>
      <c r="G13" s="56"/>
      <c r="H13" s="56"/>
      <c r="I13" s="56"/>
      <c r="J13" s="56"/>
    </row>
    <row r="14" spans="1:10" ht="22.5" hidden="1" customHeight="1" x14ac:dyDescent="0.25">
      <c r="A14" s="12" t="s">
        <v>102</v>
      </c>
      <c r="B14" s="18" t="s">
        <v>41</v>
      </c>
      <c r="C14" s="37">
        <v>901</v>
      </c>
      <c r="D14" s="37">
        <v>907.9</v>
      </c>
      <c r="E14" s="23">
        <f t="shared" si="0"/>
        <v>6.8999999999999773</v>
      </c>
      <c r="F14" s="104">
        <f t="shared" si="1"/>
        <v>1.0076581576026638</v>
      </c>
      <c r="G14" s="56"/>
      <c r="H14" s="56"/>
      <c r="I14" s="56"/>
      <c r="J14" s="56"/>
    </row>
    <row r="15" spans="1:10" ht="27" hidden="1" customHeight="1" x14ac:dyDescent="0.25">
      <c r="A15" s="29" t="s">
        <v>103</v>
      </c>
      <c r="B15" s="30" t="s">
        <v>86</v>
      </c>
      <c r="C15" s="37">
        <v>4700</v>
      </c>
      <c r="D15" s="37">
        <v>4737.3</v>
      </c>
      <c r="E15" s="23">
        <f t="shared" si="0"/>
        <v>37.300000000000182</v>
      </c>
      <c r="F15" s="104">
        <f t="shared" si="1"/>
        <v>1.007936170212766</v>
      </c>
      <c r="G15" s="56"/>
      <c r="H15" s="56"/>
      <c r="I15" s="56"/>
      <c r="J15" s="56"/>
    </row>
    <row r="16" spans="1:10" ht="21.75" hidden="1" customHeight="1" x14ac:dyDescent="0.25">
      <c r="A16" s="29" t="s">
        <v>139</v>
      </c>
      <c r="B16" s="30" t="s">
        <v>140</v>
      </c>
      <c r="C16" s="37">
        <v>-3900</v>
      </c>
      <c r="D16" s="37">
        <v>-3868.7</v>
      </c>
      <c r="E16" s="23">
        <f t="shared" si="0"/>
        <v>31.300000000000182</v>
      </c>
      <c r="F16" s="104">
        <f t="shared" si="1"/>
        <v>0.99197435897435893</v>
      </c>
      <c r="G16" s="56"/>
      <c r="H16" s="56"/>
      <c r="I16" s="56"/>
      <c r="J16" s="56"/>
    </row>
    <row r="17" spans="1:10" ht="21.75" hidden="1" customHeight="1" x14ac:dyDescent="0.25">
      <c r="A17" s="29" t="s">
        <v>141</v>
      </c>
      <c r="B17" s="30" t="s">
        <v>142</v>
      </c>
      <c r="C17" s="37">
        <v>14052</v>
      </c>
      <c r="D17" s="37">
        <v>14034.4</v>
      </c>
      <c r="E17" s="23">
        <f t="shared" si="0"/>
        <v>-17.600000000000364</v>
      </c>
      <c r="F17" s="104">
        <f t="shared" si="1"/>
        <v>0.99874750925135214</v>
      </c>
      <c r="G17" s="56"/>
      <c r="H17" s="56"/>
      <c r="I17" s="56"/>
      <c r="J17" s="56"/>
    </row>
    <row r="18" spans="1:10" ht="32.25" hidden="1" customHeight="1" x14ac:dyDescent="0.25">
      <c r="A18" s="31">
        <v>103</v>
      </c>
      <c r="B18" s="11" t="s">
        <v>124</v>
      </c>
      <c r="C18" s="80">
        <v>18748.5</v>
      </c>
      <c r="D18" s="99">
        <v>18751.099999999999</v>
      </c>
      <c r="E18" s="23">
        <f t="shared" si="0"/>
        <v>2.5999999999985448</v>
      </c>
      <c r="F18" s="104">
        <f t="shared" si="1"/>
        <v>1.0001386777608874</v>
      </c>
      <c r="G18" s="56"/>
      <c r="H18" s="56"/>
      <c r="I18" s="56"/>
      <c r="J18" s="56"/>
    </row>
    <row r="19" spans="1:10" ht="15" hidden="1" customHeight="1" x14ac:dyDescent="0.25">
      <c r="A19" s="31">
        <v>105</v>
      </c>
      <c r="B19" s="11" t="s">
        <v>82</v>
      </c>
      <c r="C19" s="80">
        <f>C23+C22+C20+C21</f>
        <v>171031.6</v>
      </c>
      <c r="D19" s="80">
        <f>D23+D22+D20+D21</f>
        <v>169940.69992999997</v>
      </c>
      <c r="E19" s="23">
        <f t="shared" si="0"/>
        <v>-1090.9000700000324</v>
      </c>
      <c r="F19" s="104">
        <f t="shared" si="1"/>
        <v>0.99362164611685777</v>
      </c>
      <c r="G19" s="56"/>
      <c r="H19" s="56"/>
      <c r="I19" s="56"/>
      <c r="J19" s="56"/>
    </row>
    <row r="20" spans="1:10" ht="14.25" hidden="1" customHeight="1" x14ac:dyDescent="0.25">
      <c r="A20" s="12" t="s">
        <v>96</v>
      </c>
      <c r="B20" s="18" t="s">
        <v>87</v>
      </c>
      <c r="C20" s="37">
        <v>159892.6</v>
      </c>
      <c r="D20" s="100">
        <v>158786.99992999999</v>
      </c>
      <c r="E20" s="23">
        <f t="shared" si="0"/>
        <v>-1105.600070000015</v>
      </c>
      <c r="F20" s="104">
        <f t="shared" si="1"/>
        <v>0.99308535810913068</v>
      </c>
      <c r="G20" s="56"/>
      <c r="H20" s="56"/>
      <c r="I20" s="56"/>
      <c r="J20" s="56"/>
    </row>
    <row r="21" spans="1:10" ht="14.25" hidden="1" customHeight="1" x14ac:dyDescent="0.25">
      <c r="A21" s="12" t="s">
        <v>179</v>
      </c>
      <c r="B21" s="18" t="s">
        <v>180</v>
      </c>
      <c r="C21" s="37">
        <v>22</v>
      </c>
      <c r="D21" s="100">
        <v>21.3</v>
      </c>
      <c r="E21" s="23">
        <f t="shared" si="0"/>
        <v>-0.69999999999999929</v>
      </c>
      <c r="F21" s="104">
        <f t="shared" si="1"/>
        <v>0.96818181818181825</v>
      </c>
      <c r="G21" s="56"/>
      <c r="H21" s="56"/>
      <c r="I21" s="56"/>
      <c r="J21" s="56"/>
    </row>
    <row r="22" spans="1:10" ht="15" hidden="1" customHeight="1" x14ac:dyDescent="0.25">
      <c r="A22" s="12" t="s">
        <v>105</v>
      </c>
      <c r="B22" s="20" t="s">
        <v>2</v>
      </c>
      <c r="C22" s="37">
        <v>1417</v>
      </c>
      <c r="D22" s="100">
        <v>1417.1</v>
      </c>
      <c r="E22" s="23">
        <f t="shared" si="0"/>
        <v>9.9999999999909051E-2</v>
      </c>
      <c r="F22" s="104">
        <f t="shared" si="1"/>
        <v>1.0000705716302045</v>
      </c>
      <c r="G22" s="56"/>
      <c r="H22" s="56"/>
      <c r="I22" s="56"/>
      <c r="J22" s="56"/>
    </row>
    <row r="23" spans="1:10" s="58" customFormat="1" ht="26.25" hidden="1" customHeight="1" x14ac:dyDescent="0.25">
      <c r="A23" s="33" t="s">
        <v>97</v>
      </c>
      <c r="B23" s="34" t="s">
        <v>88</v>
      </c>
      <c r="C23" s="37">
        <v>9700</v>
      </c>
      <c r="D23" s="100">
        <v>9715.2999999999993</v>
      </c>
      <c r="E23" s="23">
        <f t="shared" si="0"/>
        <v>15.299999999999272</v>
      </c>
      <c r="F23" s="104">
        <f t="shared" si="1"/>
        <v>1.0015773195876287</v>
      </c>
      <c r="G23" s="57"/>
      <c r="H23" s="57"/>
      <c r="I23" s="57"/>
      <c r="J23" s="57"/>
    </row>
    <row r="24" spans="1:10" ht="15.75" hidden="1" customHeight="1" x14ac:dyDescent="0.25">
      <c r="A24" s="31">
        <v>106</v>
      </c>
      <c r="B24" s="35" t="s">
        <v>89</v>
      </c>
      <c r="C24" s="80">
        <f>C25+C26+C27+C30</f>
        <v>123041.5</v>
      </c>
      <c r="D24" s="80">
        <f>D25+D26+D27+D30</f>
        <v>123027</v>
      </c>
      <c r="E24" s="23">
        <f t="shared" si="0"/>
        <v>-14.5</v>
      </c>
      <c r="F24" s="104">
        <f t="shared" si="1"/>
        <v>0.9998821535823279</v>
      </c>
      <c r="G24" s="56"/>
      <c r="H24" s="56"/>
      <c r="I24" s="56"/>
      <c r="J24" s="56"/>
    </row>
    <row r="25" spans="1:10" ht="24.75" hidden="1" customHeight="1" x14ac:dyDescent="0.25">
      <c r="A25" s="12" t="s">
        <v>98</v>
      </c>
      <c r="B25" s="18" t="s">
        <v>91</v>
      </c>
      <c r="C25" s="37">
        <v>57000</v>
      </c>
      <c r="D25" s="100">
        <v>8045.3</v>
      </c>
      <c r="E25" s="23">
        <f t="shared" si="0"/>
        <v>-48954.7</v>
      </c>
      <c r="F25" s="104">
        <f t="shared" si="1"/>
        <v>0.14114561403508771</v>
      </c>
      <c r="G25" s="56"/>
      <c r="H25" s="56"/>
      <c r="I25" s="56"/>
      <c r="J25" s="56"/>
    </row>
    <row r="26" spans="1:10" ht="28.5" hidden="1" customHeight="1" x14ac:dyDescent="0.25">
      <c r="A26" s="12" t="s">
        <v>106</v>
      </c>
      <c r="B26" s="18" t="s">
        <v>90</v>
      </c>
      <c r="C26" s="37">
        <v>8041.7</v>
      </c>
      <c r="D26" s="100">
        <v>57013.7</v>
      </c>
      <c r="E26" s="23">
        <f t="shared" si="0"/>
        <v>48972</v>
      </c>
      <c r="F26" s="104">
        <f t="shared" si="1"/>
        <v>7.0897571409030427</v>
      </c>
      <c r="G26" s="56"/>
      <c r="H26" s="56"/>
      <c r="I26" s="56"/>
      <c r="J26" s="56"/>
    </row>
    <row r="27" spans="1:10" ht="12.75" hidden="1" customHeight="1" x14ac:dyDescent="0.25">
      <c r="A27" s="12" t="s">
        <v>107</v>
      </c>
      <c r="B27" s="21" t="s">
        <v>11</v>
      </c>
      <c r="C27" s="82">
        <f t="shared" ref="C27" si="2">C28+C29</f>
        <v>30050</v>
      </c>
      <c r="D27" s="100">
        <v>29764.3</v>
      </c>
      <c r="E27" s="23">
        <f t="shared" si="0"/>
        <v>-285.70000000000073</v>
      </c>
      <c r="F27" s="104">
        <f t="shared" si="1"/>
        <v>0.99049251247920134</v>
      </c>
      <c r="G27" s="56"/>
      <c r="H27" s="56"/>
      <c r="I27" s="56"/>
      <c r="J27" s="56"/>
    </row>
    <row r="28" spans="1:10" ht="13.5" hidden="1" customHeight="1" x14ac:dyDescent="0.25">
      <c r="A28" s="12" t="s">
        <v>108</v>
      </c>
      <c r="B28" s="22" t="s">
        <v>92</v>
      </c>
      <c r="C28" s="83">
        <f>3200-800</f>
        <v>2400</v>
      </c>
      <c r="D28" s="100">
        <v>2397.8000000000002</v>
      </c>
      <c r="E28" s="23">
        <f t="shared" si="0"/>
        <v>-2.1999999999998181</v>
      </c>
      <c r="F28" s="104">
        <f t="shared" si="1"/>
        <v>0.99908333333333343</v>
      </c>
      <c r="G28" s="56"/>
      <c r="H28" s="56"/>
      <c r="I28" s="56"/>
      <c r="J28" s="56"/>
    </row>
    <row r="29" spans="1:10" ht="14.25" hidden="1" customHeight="1" x14ac:dyDescent="0.25">
      <c r="A29" s="12" t="s">
        <v>109</v>
      </c>
      <c r="B29" s="18" t="s">
        <v>93</v>
      </c>
      <c r="C29" s="37">
        <v>27650</v>
      </c>
      <c r="D29" s="100">
        <v>27366.5</v>
      </c>
      <c r="E29" s="23">
        <f t="shared" si="0"/>
        <v>-283.5</v>
      </c>
      <c r="F29" s="104">
        <f t="shared" si="1"/>
        <v>0.98974683544303799</v>
      </c>
      <c r="G29" s="56"/>
      <c r="H29" s="56"/>
      <c r="I29" s="56"/>
      <c r="J29" s="56"/>
    </row>
    <row r="30" spans="1:10" ht="14.25" hidden="1" customHeight="1" x14ac:dyDescent="0.25">
      <c r="A30" s="12" t="s">
        <v>104</v>
      </c>
      <c r="B30" s="21" t="s">
        <v>12</v>
      </c>
      <c r="C30" s="83">
        <f>C32+C31</f>
        <v>27949.8</v>
      </c>
      <c r="D30" s="100">
        <v>28203.7</v>
      </c>
      <c r="E30" s="23">
        <f t="shared" si="0"/>
        <v>253.90000000000146</v>
      </c>
      <c r="F30" s="104">
        <f t="shared" si="1"/>
        <v>1.009084143714803</v>
      </c>
      <c r="G30" s="56"/>
      <c r="H30" s="56"/>
      <c r="I30" s="56"/>
      <c r="J30" s="56"/>
    </row>
    <row r="31" spans="1:10" ht="14.25" hidden="1" customHeight="1" x14ac:dyDescent="0.25">
      <c r="A31" s="12" t="s">
        <v>111</v>
      </c>
      <c r="B31" s="22" t="s">
        <v>94</v>
      </c>
      <c r="C31" s="83">
        <f>17024+550</f>
        <v>17574</v>
      </c>
      <c r="D31" s="100">
        <v>17750.099999999999</v>
      </c>
      <c r="E31" s="23">
        <f t="shared" si="0"/>
        <v>176.09999999999854</v>
      </c>
      <c r="F31" s="104">
        <f t="shared" si="1"/>
        <v>1.0100204848071013</v>
      </c>
      <c r="G31" s="56"/>
      <c r="H31" s="56"/>
      <c r="I31" s="56"/>
      <c r="J31" s="56"/>
    </row>
    <row r="32" spans="1:10" s="58" customFormat="1" ht="26.25" hidden="1" customHeight="1" x14ac:dyDescent="0.25">
      <c r="A32" s="33" t="s">
        <v>110</v>
      </c>
      <c r="B32" s="38" t="s">
        <v>95</v>
      </c>
      <c r="C32" s="37">
        <v>10375.799999999999</v>
      </c>
      <c r="D32" s="100">
        <v>10453.5</v>
      </c>
      <c r="E32" s="23">
        <f t="shared" si="0"/>
        <v>77.700000000000728</v>
      </c>
      <c r="F32" s="104">
        <f t="shared" si="1"/>
        <v>1.0074885791938935</v>
      </c>
      <c r="G32" s="57"/>
      <c r="H32" s="57"/>
      <c r="I32" s="57"/>
      <c r="J32" s="57"/>
    </row>
    <row r="33" spans="1:10" ht="18.75" hidden="1" customHeight="1" x14ac:dyDescent="0.25">
      <c r="A33" s="32">
        <v>108</v>
      </c>
      <c r="B33" s="11" t="s">
        <v>1</v>
      </c>
      <c r="C33" s="80">
        <v>5570</v>
      </c>
      <c r="D33" s="100">
        <v>5686.5</v>
      </c>
      <c r="E33" s="23">
        <f t="shared" si="0"/>
        <v>116.5</v>
      </c>
      <c r="F33" s="104">
        <f t="shared" si="1"/>
        <v>1.020915619389587</v>
      </c>
      <c r="G33" s="56"/>
      <c r="H33" s="56"/>
      <c r="I33" s="56"/>
      <c r="J33" s="56"/>
    </row>
    <row r="34" spans="1:10" ht="29.25" hidden="1" customHeight="1" x14ac:dyDescent="0.25">
      <c r="A34" s="50" t="s">
        <v>113</v>
      </c>
      <c r="B34" s="38" t="s">
        <v>112</v>
      </c>
      <c r="C34" s="37">
        <v>5570</v>
      </c>
      <c r="D34" s="100">
        <v>5686.5</v>
      </c>
      <c r="E34" s="23">
        <f t="shared" si="0"/>
        <v>116.5</v>
      </c>
      <c r="F34" s="104">
        <f t="shared" si="1"/>
        <v>1.020915619389587</v>
      </c>
      <c r="G34" s="56"/>
      <c r="H34" s="56"/>
      <c r="I34" s="56"/>
      <c r="J34" s="56"/>
    </row>
    <row r="35" spans="1:10" ht="12.75" hidden="1" customHeight="1" x14ac:dyDescent="0.25">
      <c r="A35" s="39"/>
      <c r="B35" s="40" t="s">
        <v>77</v>
      </c>
      <c r="C35" s="81">
        <f>C50+C49+C46+C42+C36+C44</f>
        <v>89134.5</v>
      </c>
      <c r="D35" s="81">
        <f>D50+D49+D46+D42+D36+D44</f>
        <v>89793.600000000006</v>
      </c>
      <c r="E35" s="23">
        <f t="shared" si="0"/>
        <v>659.10000000000582</v>
      </c>
      <c r="F35" s="104">
        <f t="shared" si="1"/>
        <v>1.0073944432290527</v>
      </c>
      <c r="G35" s="56"/>
      <c r="H35" s="56"/>
      <c r="I35" s="56"/>
      <c r="J35" s="56"/>
    </row>
    <row r="36" spans="1:10" ht="43.5" hidden="1" customHeight="1" x14ac:dyDescent="0.25">
      <c r="A36" s="31">
        <v>111</v>
      </c>
      <c r="B36" s="42" t="s">
        <v>78</v>
      </c>
      <c r="C36" s="80">
        <f>SUM(C37:C41)</f>
        <v>43253.2</v>
      </c>
      <c r="D36" s="80">
        <f>SUM(D37:D41)</f>
        <v>43437.8</v>
      </c>
      <c r="E36" s="23">
        <f t="shared" si="0"/>
        <v>184.60000000000582</v>
      </c>
      <c r="F36" s="104">
        <f t="shared" si="1"/>
        <v>1.0042678923177939</v>
      </c>
      <c r="G36" s="56"/>
      <c r="H36" s="56"/>
      <c r="I36" s="56"/>
      <c r="J36" s="56"/>
    </row>
    <row r="37" spans="1:10" ht="48" hidden="1" customHeight="1" x14ac:dyDescent="0.25">
      <c r="A37" s="14" t="s">
        <v>9</v>
      </c>
      <c r="B37" s="22" t="s">
        <v>114</v>
      </c>
      <c r="C37" s="37">
        <v>34900</v>
      </c>
      <c r="D37" s="37">
        <v>35104</v>
      </c>
      <c r="E37" s="23">
        <f t="shared" si="0"/>
        <v>204</v>
      </c>
      <c r="F37" s="104">
        <f t="shared" si="1"/>
        <v>1.0058452722063038</v>
      </c>
      <c r="G37" s="56"/>
      <c r="H37" s="56"/>
      <c r="I37" s="56"/>
      <c r="J37" s="56"/>
    </row>
    <row r="38" spans="1:10" ht="23.25" hidden="1" customHeight="1" x14ac:dyDescent="0.25">
      <c r="A38" s="15" t="s">
        <v>29</v>
      </c>
      <c r="B38" s="20" t="s">
        <v>30</v>
      </c>
      <c r="C38" s="37">
        <v>5610</v>
      </c>
      <c r="D38" s="37">
        <v>5539</v>
      </c>
      <c r="E38" s="23">
        <f t="shared" si="0"/>
        <v>-71</v>
      </c>
      <c r="F38" s="104">
        <f t="shared" si="1"/>
        <v>0.98734402852049907</v>
      </c>
      <c r="G38" s="56"/>
      <c r="H38" s="56"/>
      <c r="I38" s="56"/>
      <c r="J38" s="56"/>
    </row>
    <row r="39" spans="1:10" s="58" customFormat="1" ht="22.5" hidden="1" customHeight="1" x14ac:dyDescent="0.25">
      <c r="A39" s="29" t="s">
        <v>116</v>
      </c>
      <c r="B39" s="43" t="s">
        <v>115</v>
      </c>
      <c r="C39" s="37">
        <v>100</v>
      </c>
      <c r="D39" s="37">
        <v>98.1</v>
      </c>
      <c r="E39" s="23">
        <f t="shared" si="0"/>
        <v>-1.9000000000000057</v>
      </c>
      <c r="F39" s="104">
        <f t="shared" si="1"/>
        <v>0.98099999999999998</v>
      </c>
      <c r="G39" s="57"/>
      <c r="H39" s="57"/>
      <c r="I39" s="57"/>
      <c r="J39" s="57"/>
    </row>
    <row r="40" spans="1:10" ht="28.5" hidden="1" customHeight="1" x14ac:dyDescent="0.25">
      <c r="A40" s="12" t="s">
        <v>7</v>
      </c>
      <c r="B40" s="18" t="s">
        <v>36</v>
      </c>
      <c r="C40" s="84">
        <v>1720</v>
      </c>
      <c r="D40" s="84">
        <v>1730.3</v>
      </c>
      <c r="E40" s="23">
        <f t="shared" si="0"/>
        <v>10.299999999999955</v>
      </c>
      <c r="F40" s="104">
        <f t="shared" si="1"/>
        <v>1.0059883720930232</v>
      </c>
      <c r="G40" s="56"/>
      <c r="H40" s="56"/>
      <c r="I40" s="56"/>
      <c r="J40" s="56"/>
    </row>
    <row r="41" spans="1:10" ht="21.75" hidden="1" customHeight="1" x14ac:dyDescent="0.25">
      <c r="A41" s="12" t="s">
        <v>126</v>
      </c>
      <c r="B41" s="18" t="s">
        <v>125</v>
      </c>
      <c r="C41" s="84">
        <v>923.2</v>
      </c>
      <c r="D41" s="84">
        <v>966.4</v>
      </c>
      <c r="E41" s="23">
        <f t="shared" si="0"/>
        <v>43.199999999999932</v>
      </c>
      <c r="F41" s="104">
        <f t="shared" si="1"/>
        <v>1.0467937608318889</v>
      </c>
      <c r="G41" s="56"/>
      <c r="H41" s="56"/>
      <c r="I41" s="56"/>
      <c r="J41" s="56"/>
    </row>
    <row r="42" spans="1:10" ht="15" hidden="1" customHeight="1" x14ac:dyDescent="0.25">
      <c r="A42" s="31">
        <v>112</v>
      </c>
      <c r="B42" s="19" t="s">
        <v>3</v>
      </c>
      <c r="C42" s="80">
        <f>C43</f>
        <v>108.7</v>
      </c>
      <c r="D42" s="80">
        <f>D43</f>
        <v>105.9</v>
      </c>
      <c r="E42" s="23">
        <f t="shared" si="0"/>
        <v>-2.7999999999999972</v>
      </c>
      <c r="F42" s="104">
        <f t="shared" si="1"/>
        <v>0.97424103035878562</v>
      </c>
      <c r="G42" s="56"/>
      <c r="H42" s="56"/>
      <c r="I42" s="56"/>
      <c r="J42" s="56"/>
    </row>
    <row r="43" spans="1:10" s="58" customFormat="1" ht="24" hidden="1" customHeight="1" x14ac:dyDescent="0.25">
      <c r="A43" s="29" t="s">
        <v>118</v>
      </c>
      <c r="B43" s="30" t="s">
        <v>117</v>
      </c>
      <c r="C43" s="84">
        <v>108.7</v>
      </c>
      <c r="D43" s="100">
        <v>105.9</v>
      </c>
      <c r="E43" s="23">
        <f t="shared" si="0"/>
        <v>-2.7999999999999972</v>
      </c>
      <c r="F43" s="104">
        <f t="shared" si="1"/>
        <v>0.97424103035878562</v>
      </c>
      <c r="G43" s="57"/>
      <c r="H43" s="57"/>
      <c r="I43" s="57"/>
      <c r="J43" s="57"/>
    </row>
    <row r="44" spans="1:10" ht="30" hidden="1" customHeight="1" x14ac:dyDescent="0.25">
      <c r="A44" s="46">
        <v>113</v>
      </c>
      <c r="B44" s="47" t="s">
        <v>6</v>
      </c>
      <c r="C44" s="85">
        <f>C45</f>
        <v>36184.199999999997</v>
      </c>
      <c r="D44" s="85">
        <f>D45</f>
        <v>36688.5</v>
      </c>
      <c r="E44" s="23">
        <f t="shared" si="0"/>
        <v>504.30000000000291</v>
      </c>
      <c r="F44" s="104">
        <f t="shared" si="1"/>
        <v>1.0139370222362247</v>
      </c>
      <c r="G44" s="56"/>
      <c r="H44" s="56"/>
      <c r="I44" s="56"/>
      <c r="J44" s="56"/>
    </row>
    <row r="45" spans="1:10" ht="18.75" hidden="1" customHeight="1" x14ac:dyDescent="0.25">
      <c r="A45" s="51" t="s">
        <v>120</v>
      </c>
      <c r="B45" s="30" t="s">
        <v>119</v>
      </c>
      <c r="C45" s="85">
        <v>36184.199999999997</v>
      </c>
      <c r="D45" s="101">
        <v>36688.5</v>
      </c>
      <c r="E45" s="23">
        <f t="shared" si="0"/>
        <v>504.30000000000291</v>
      </c>
      <c r="F45" s="104">
        <f t="shared" si="1"/>
        <v>1.0139370222362247</v>
      </c>
      <c r="G45" s="56"/>
      <c r="H45" s="56"/>
      <c r="I45" s="56"/>
      <c r="J45" s="56"/>
    </row>
    <row r="46" spans="1:10" ht="33" hidden="1" customHeight="1" x14ac:dyDescent="0.25">
      <c r="A46" s="45" t="s">
        <v>81</v>
      </c>
      <c r="B46" s="19" t="s">
        <v>4</v>
      </c>
      <c r="C46" s="85">
        <f>SUM(C47:C48)</f>
        <v>8000</v>
      </c>
      <c r="D46" s="102">
        <v>8195.7999999999993</v>
      </c>
      <c r="E46" s="23">
        <f t="shared" si="0"/>
        <v>195.79999999999927</v>
      </c>
      <c r="F46" s="104">
        <f t="shared" si="1"/>
        <v>1.0244749999999998</v>
      </c>
      <c r="G46" s="56"/>
      <c r="H46" s="56"/>
      <c r="I46" s="56"/>
      <c r="J46" s="56"/>
    </row>
    <row r="47" spans="1:10" ht="29.25" hidden="1" customHeight="1" x14ac:dyDescent="0.25">
      <c r="A47" s="29" t="s">
        <v>121</v>
      </c>
      <c r="B47" s="30" t="s">
        <v>37</v>
      </c>
      <c r="C47" s="37">
        <f>2000+2300+3700</f>
        <v>8000</v>
      </c>
      <c r="D47" s="102">
        <v>8195.7999999999993</v>
      </c>
      <c r="E47" s="23">
        <f t="shared" si="0"/>
        <v>195.79999999999927</v>
      </c>
      <c r="F47" s="104">
        <f t="shared" si="1"/>
        <v>1.0244749999999998</v>
      </c>
      <c r="G47" s="56"/>
      <c r="H47" s="56"/>
      <c r="I47" s="56"/>
      <c r="J47" s="56"/>
    </row>
    <row r="48" spans="1:10" ht="15" hidden="1" customHeight="1" x14ac:dyDescent="0.25">
      <c r="A48" s="29" t="s">
        <v>123</v>
      </c>
      <c r="B48" s="30" t="s">
        <v>122</v>
      </c>
      <c r="C48" s="37"/>
      <c r="D48" s="37"/>
      <c r="E48" s="23">
        <f t="shared" si="0"/>
        <v>0</v>
      </c>
      <c r="F48" s="104" t="e">
        <f t="shared" si="1"/>
        <v>#DIV/0!</v>
      </c>
      <c r="G48" s="56"/>
      <c r="H48" s="56"/>
      <c r="I48" s="56"/>
      <c r="J48" s="56"/>
    </row>
    <row r="49" spans="1:10" ht="17.25" hidden="1" customHeight="1" x14ac:dyDescent="0.25">
      <c r="A49" s="31">
        <v>116</v>
      </c>
      <c r="B49" s="35" t="s">
        <v>0</v>
      </c>
      <c r="C49" s="80">
        <v>1400</v>
      </c>
      <c r="D49" s="102">
        <v>1427.1</v>
      </c>
      <c r="E49" s="23">
        <f t="shared" si="0"/>
        <v>27.099999999999909</v>
      </c>
      <c r="F49" s="104">
        <f t="shared" si="1"/>
        <v>1.0193571428571429</v>
      </c>
      <c r="G49" s="56"/>
      <c r="H49" s="56"/>
      <c r="I49" s="56"/>
      <c r="J49" s="56"/>
    </row>
    <row r="50" spans="1:10" ht="18" hidden="1" customHeight="1" x14ac:dyDescent="0.3">
      <c r="A50" s="31">
        <v>117</v>
      </c>
      <c r="B50" s="44" t="s">
        <v>80</v>
      </c>
      <c r="C50" s="86">
        <v>188.4</v>
      </c>
      <c r="D50" s="103">
        <v>-61.5</v>
      </c>
      <c r="E50" s="23">
        <f t="shared" si="0"/>
        <v>-249.9</v>
      </c>
      <c r="F50" s="104">
        <f t="shared" si="1"/>
        <v>-0.32643312101910826</v>
      </c>
    </row>
    <row r="51" spans="1:10" ht="17.25" hidden="1" customHeight="1" x14ac:dyDescent="0.25">
      <c r="A51" s="13"/>
      <c r="B51" s="49"/>
      <c r="C51" s="83"/>
      <c r="D51" s="83"/>
      <c r="E51" s="23">
        <f t="shared" si="0"/>
        <v>0</v>
      </c>
      <c r="F51" s="104" t="e">
        <f t="shared" si="1"/>
        <v>#DIV/0!</v>
      </c>
      <c r="H51" s="54"/>
    </row>
    <row r="52" spans="1:10" ht="17.25" customHeight="1" x14ac:dyDescent="0.35">
      <c r="A52" s="13"/>
      <c r="B52" s="48" t="s">
        <v>85</v>
      </c>
      <c r="C52" s="80">
        <f>C53+C54+C56+C90+C148+C55</f>
        <v>4961807.5999999996</v>
      </c>
      <c r="D52" s="80">
        <f>D53+D54+D56+D90+D148+D55</f>
        <v>4930150.6999999993</v>
      </c>
      <c r="E52" s="23">
        <f t="shared" si="0"/>
        <v>-31656.900000000373</v>
      </c>
      <c r="F52" s="104">
        <f t="shared" si="1"/>
        <v>0.99361988562394066</v>
      </c>
      <c r="H52" s="54"/>
    </row>
    <row r="53" spans="1:10" ht="63" customHeight="1" x14ac:dyDescent="0.25">
      <c r="A53" s="13" t="s">
        <v>83</v>
      </c>
      <c r="B53" s="11" t="s">
        <v>84</v>
      </c>
      <c r="C53" s="80">
        <v>829820</v>
      </c>
      <c r="D53" s="80">
        <v>829820</v>
      </c>
      <c r="E53" s="23">
        <f t="shared" si="0"/>
        <v>0</v>
      </c>
      <c r="F53" s="104">
        <f t="shared" si="1"/>
        <v>1</v>
      </c>
      <c r="H53" s="54"/>
    </row>
    <row r="54" spans="1:10" ht="31.5" x14ac:dyDescent="0.25">
      <c r="A54" s="13" t="s">
        <v>52</v>
      </c>
      <c r="B54" s="11" t="s">
        <v>22</v>
      </c>
      <c r="C54" s="80">
        <f>331434.9+63619.5</f>
        <v>395054.4</v>
      </c>
      <c r="D54" s="80">
        <f>331434.9+63619.5</f>
        <v>395054.4</v>
      </c>
      <c r="E54" s="23">
        <f t="shared" si="0"/>
        <v>0</v>
      </c>
      <c r="F54" s="104">
        <f t="shared" si="1"/>
        <v>1</v>
      </c>
      <c r="H54" s="106"/>
    </row>
    <row r="55" spans="1:10" ht="31.5" x14ac:dyDescent="0.25">
      <c r="A55" s="13" t="s">
        <v>182</v>
      </c>
      <c r="B55" s="11" t="s">
        <v>181</v>
      </c>
      <c r="C55" s="80">
        <v>400</v>
      </c>
      <c r="D55" s="80">
        <v>400</v>
      </c>
      <c r="E55" s="23">
        <f t="shared" si="0"/>
        <v>0</v>
      </c>
      <c r="F55" s="104">
        <f t="shared" si="1"/>
        <v>1</v>
      </c>
    </row>
    <row r="56" spans="1:10" ht="21" customHeight="1" x14ac:dyDescent="0.25">
      <c r="A56" s="1"/>
      <c r="B56" s="11" t="s">
        <v>25</v>
      </c>
      <c r="C56" s="80">
        <f>C57+C61+C64+C66+C68+C70+C72+C74+C76+C78+C80+C82+C84+C86+C88</f>
        <v>1289712.3</v>
      </c>
      <c r="D56" s="80">
        <f>D57+D61+D64+D66+D68+D70+D72+D74+D76+D78+D80+D82+D84+D86+D88</f>
        <v>1276514.5999999999</v>
      </c>
      <c r="E56" s="23">
        <f t="shared" si="0"/>
        <v>-13197.700000000186</v>
      </c>
      <c r="F56" s="104">
        <f t="shared" si="1"/>
        <v>0.98976694259642228</v>
      </c>
      <c r="H56" s="59"/>
    </row>
    <row r="57" spans="1:10" ht="49.5" customHeight="1" x14ac:dyDescent="0.25">
      <c r="A57" s="116" t="s">
        <v>19</v>
      </c>
      <c r="B57" s="120"/>
      <c r="C57" s="80">
        <f>SUM(C58:C60)</f>
        <v>131253</v>
      </c>
      <c r="D57" s="80">
        <f>SUM(D58:D60)</f>
        <v>119491.3</v>
      </c>
      <c r="E57" s="23">
        <f t="shared" si="0"/>
        <v>-11761.699999999997</v>
      </c>
      <c r="F57" s="104">
        <f t="shared" si="1"/>
        <v>0.91038909586828498</v>
      </c>
    </row>
    <row r="58" spans="1:10" ht="28.5" customHeight="1" x14ac:dyDescent="0.25">
      <c r="A58" s="16" t="s">
        <v>43</v>
      </c>
      <c r="B58" s="73" t="s">
        <v>32</v>
      </c>
      <c r="C58" s="87">
        <f>12154.2+336-580</f>
        <v>11910.2</v>
      </c>
      <c r="D58" s="87">
        <v>11221.8</v>
      </c>
      <c r="E58" s="23">
        <f t="shared" si="0"/>
        <v>-688.40000000000146</v>
      </c>
      <c r="F58" s="104">
        <f t="shared" si="1"/>
        <v>0.94220080267333872</v>
      </c>
    </row>
    <row r="59" spans="1:10" ht="33" customHeight="1" x14ac:dyDescent="0.25">
      <c r="A59" s="16" t="s">
        <v>44</v>
      </c>
      <c r="B59" s="73" t="s">
        <v>152</v>
      </c>
      <c r="C59" s="87">
        <f>42506.3+29209.4+8987.4+6474.7</f>
        <v>87177.8</v>
      </c>
      <c r="D59" s="87">
        <v>76104.5</v>
      </c>
      <c r="E59" s="23">
        <f t="shared" si="0"/>
        <v>-11073.300000000003</v>
      </c>
      <c r="F59" s="104">
        <f t="shared" si="1"/>
        <v>0.87298027708889192</v>
      </c>
    </row>
    <row r="60" spans="1:10" ht="46.5" customHeight="1" x14ac:dyDescent="0.25">
      <c r="A60" s="16" t="s">
        <v>45</v>
      </c>
      <c r="B60" s="73" t="s">
        <v>153</v>
      </c>
      <c r="C60" s="87">
        <f>20800+1044+12350-2029</f>
        <v>32165</v>
      </c>
      <c r="D60" s="87">
        <v>32165</v>
      </c>
      <c r="E60" s="23">
        <f t="shared" si="0"/>
        <v>0</v>
      </c>
      <c r="F60" s="104">
        <f t="shared" si="1"/>
        <v>1</v>
      </c>
    </row>
    <row r="61" spans="1:10" ht="46.5" customHeight="1" x14ac:dyDescent="0.25">
      <c r="A61" s="116" t="s">
        <v>13</v>
      </c>
      <c r="B61" s="120"/>
      <c r="C61" s="88">
        <f>SUM(C62:C63)</f>
        <v>29175.8</v>
      </c>
      <c r="D61" s="88">
        <f>SUM(D62:D63)</f>
        <v>28140.6</v>
      </c>
      <c r="E61" s="23">
        <f t="shared" si="0"/>
        <v>-1035.2000000000007</v>
      </c>
      <c r="F61" s="104">
        <f t="shared" si="1"/>
        <v>0.96451853933739606</v>
      </c>
    </row>
    <row r="62" spans="1:10" ht="28.5" customHeight="1" x14ac:dyDescent="0.25">
      <c r="A62" s="16" t="s">
        <v>46</v>
      </c>
      <c r="B62" s="73" t="s">
        <v>32</v>
      </c>
      <c r="C62" s="87">
        <f>1608.5+823.9-400-335.6</f>
        <v>1696.8000000000002</v>
      </c>
      <c r="D62" s="87">
        <v>1672.1</v>
      </c>
      <c r="E62" s="23">
        <f t="shared" si="0"/>
        <v>-24.700000000000273</v>
      </c>
      <c r="F62" s="104">
        <f t="shared" si="1"/>
        <v>0.98544318717586032</v>
      </c>
    </row>
    <row r="63" spans="1:10" ht="55.5" customHeight="1" x14ac:dyDescent="0.25">
      <c r="A63" s="65" t="s">
        <v>47</v>
      </c>
      <c r="B63" s="24" t="s">
        <v>33</v>
      </c>
      <c r="C63" s="87">
        <f>18976.8+6975.2+4537.6-3010.6</f>
        <v>27479</v>
      </c>
      <c r="D63" s="87">
        <v>26468.5</v>
      </c>
      <c r="E63" s="23">
        <f t="shared" si="0"/>
        <v>-1010.5</v>
      </c>
      <c r="F63" s="104">
        <f t="shared" si="1"/>
        <v>0.96322646384511812</v>
      </c>
    </row>
    <row r="64" spans="1:10" ht="81.75" customHeight="1" x14ac:dyDescent="0.25">
      <c r="A64" s="121" t="s">
        <v>18</v>
      </c>
      <c r="B64" s="120"/>
      <c r="C64" s="80">
        <f>C65</f>
        <v>10612.5</v>
      </c>
      <c r="D64" s="80">
        <f>D65</f>
        <v>10612.5</v>
      </c>
      <c r="E64" s="23">
        <f t="shared" si="0"/>
        <v>0</v>
      </c>
      <c r="F64" s="104">
        <f t="shared" si="1"/>
        <v>1</v>
      </c>
    </row>
    <row r="65" spans="1:6" ht="33" customHeight="1" x14ac:dyDescent="0.25">
      <c r="A65" s="16" t="s">
        <v>43</v>
      </c>
      <c r="B65" s="73" t="s">
        <v>32</v>
      </c>
      <c r="C65" s="87">
        <f>6001.5+5065.6+420.8-875.4</f>
        <v>10612.5</v>
      </c>
      <c r="D65" s="87">
        <v>10612.5</v>
      </c>
      <c r="E65" s="23">
        <f t="shared" si="0"/>
        <v>0</v>
      </c>
      <c r="F65" s="104">
        <f t="shared" si="1"/>
        <v>1</v>
      </c>
    </row>
    <row r="66" spans="1:6" ht="32.25" customHeight="1" x14ac:dyDescent="0.25">
      <c r="A66" s="116" t="s">
        <v>15</v>
      </c>
      <c r="B66" s="120"/>
      <c r="C66" s="80">
        <f>C67</f>
        <v>1524.4</v>
      </c>
      <c r="D66" s="80">
        <f>D67</f>
        <v>1524.4</v>
      </c>
      <c r="E66" s="23">
        <f t="shared" si="0"/>
        <v>0</v>
      </c>
      <c r="F66" s="104">
        <f t="shared" si="1"/>
        <v>1</v>
      </c>
    </row>
    <row r="67" spans="1:6" ht="30" customHeight="1" x14ac:dyDescent="0.25">
      <c r="A67" s="16" t="s">
        <v>43</v>
      </c>
      <c r="B67" s="73" t="s">
        <v>32</v>
      </c>
      <c r="C67" s="87">
        <v>1524.4</v>
      </c>
      <c r="D67" s="87">
        <v>1524.4</v>
      </c>
      <c r="E67" s="23">
        <f t="shared" si="0"/>
        <v>0</v>
      </c>
      <c r="F67" s="104">
        <f t="shared" si="1"/>
        <v>1</v>
      </c>
    </row>
    <row r="68" spans="1:6" ht="66" customHeight="1" x14ac:dyDescent="0.25">
      <c r="A68" s="116" t="s">
        <v>14</v>
      </c>
      <c r="B68" s="120"/>
      <c r="C68" s="80">
        <f>C69</f>
        <v>1321.8</v>
      </c>
      <c r="D68" s="80">
        <f>D69</f>
        <v>1321.8</v>
      </c>
      <c r="E68" s="23">
        <f t="shared" si="0"/>
        <v>0</v>
      </c>
      <c r="F68" s="104">
        <f t="shared" si="1"/>
        <v>1</v>
      </c>
    </row>
    <row r="69" spans="1:6" ht="30.75" customHeight="1" x14ac:dyDescent="0.25">
      <c r="A69" s="16" t="s">
        <v>43</v>
      </c>
      <c r="B69" s="73" t="s">
        <v>32</v>
      </c>
      <c r="C69" s="87">
        <v>1321.8</v>
      </c>
      <c r="D69" s="87">
        <v>1321.8</v>
      </c>
      <c r="E69" s="23">
        <f t="shared" si="0"/>
        <v>0</v>
      </c>
      <c r="F69" s="104">
        <f t="shared" si="1"/>
        <v>1</v>
      </c>
    </row>
    <row r="70" spans="1:6" ht="51.75" customHeight="1" x14ac:dyDescent="0.25">
      <c r="A70" s="116" t="s">
        <v>16</v>
      </c>
      <c r="B70" s="120"/>
      <c r="C70" s="80">
        <f>C71</f>
        <v>2579.8000000000002</v>
      </c>
      <c r="D70" s="80">
        <f>D71</f>
        <v>2579.8000000000002</v>
      </c>
      <c r="E70" s="23">
        <f t="shared" si="0"/>
        <v>0</v>
      </c>
      <c r="F70" s="104">
        <f t="shared" si="1"/>
        <v>1</v>
      </c>
    </row>
    <row r="71" spans="1:6" ht="30" customHeight="1" x14ac:dyDescent="0.25">
      <c r="A71" s="16" t="s">
        <v>43</v>
      </c>
      <c r="B71" s="73" t="s">
        <v>32</v>
      </c>
      <c r="C71" s="87">
        <v>2579.8000000000002</v>
      </c>
      <c r="D71" s="87">
        <v>2579.8000000000002</v>
      </c>
      <c r="E71" s="23">
        <f t="shared" si="0"/>
        <v>0</v>
      </c>
      <c r="F71" s="104">
        <f t="shared" si="1"/>
        <v>1</v>
      </c>
    </row>
    <row r="72" spans="1:6" ht="48.75" customHeight="1" x14ac:dyDescent="0.25">
      <c r="A72" s="116" t="s">
        <v>27</v>
      </c>
      <c r="B72" s="120"/>
      <c r="C72" s="80">
        <f>C73</f>
        <v>11817.9</v>
      </c>
      <c r="D72" s="80">
        <f>D73</f>
        <v>11817.9</v>
      </c>
      <c r="E72" s="23">
        <f t="shared" si="0"/>
        <v>0</v>
      </c>
      <c r="F72" s="104">
        <f t="shared" si="1"/>
        <v>1</v>
      </c>
    </row>
    <row r="73" spans="1:6" ht="30" customHeight="1" x14ac:dyDescent="0.25">
      <c r="A73" s="16" t="s">
        <v>43</v>
      </c>
      <c r="B73" s="73" t="s">
        <v>32</v>
      </c>
      <c r="C73" s="87">
        <f>7879.9+2138.5+2196.4-396.9</f>
        <v>11817.9</v>
      </c>
      <c r="D73" s="87">
        <v>11817.9</v>
      </c>
      <c r="E73" s="23">
        <f t="shared" ref="E73:E136" si="3">D73-C73</f>
        <v>0</v>
      </c>
      <c r="F73" s="104">
        <f t="shared" ref="F73:F136" si="4">D73/C73</f>
        <v>1</v>
      </c>
    </row>
    <row r="74" spans="1:6" ht="48.75" customHeight="1" x14ac:dyDescent="0.25">
      <c r="A74" s="116" t="s">
        <v>17</v>
      </c>
      <c r="B74" s="120"/>
      <c r="C74" s="80">
        <f>C75</f>
        <v>4429.2</v>
      </c>
      <c r="D74" s="80">
        <f>D75</f>
        <v>4429.2</v>
      </c>
      <c r="E74" s="23">
        <f t="shared" si="3"/>
        <v>0</v>
      </c>
      <c r="F74" s="104">
        <f t="shared" si="4"/>
        <v>1</v>
      </c>
    </row>
    <row r="75" spans="1:6" ht="30" customHeight="1" x14ac:dyDescent="0.25">
      <c r="A75" s="16" t="s">
        <v>43</v>
      </c>
      <c r="B75" s="73" t="s">
        <v>32</v>
      </c>
      <c r="C75" s="87">
        <f>5011.6-6.1+70.8-249.1-398</f>
        <v>4429.2</v>
      </c>
      <c r="D75" s="87">
        <v>4429.2</v>
      </c>
      <c r="E75" s="23">
        <f t="shared" si="3"/>
        <v>0</v>
      </c>
      <c r="F75" s="104">
        <f t="shared" si="4"/>
        <v>1</v>
      </c>
    </row>
    <row r="76" spans="1:6" ht="47.25" customHeight="1" x14ac:dyDescent="0.25">
      <c r="A76" s="116" t="s">
        <v>21</v>
      </c>
      <c r="B76" s="120"/>
      <c r="C76" s="80">
        <f>C77</f>
        <v>1680.8</v>
      </c>
      <c r="D76" s="80">
        <f>D77</f>
        <v>1680.8</v>
      </c>
      <c r="E76" s="23">
        <f t="shared" si="3"/>
        <v>0</v>
      </c>
      <c r="F76" s="104">
        <f t="shared" si="4"/>
        <v>1</v>
      </c>
    </row>
    <row r="77" spans="1:6" ht="31.5" customHeight="1" x14ac:dyDescent="0.25">
      <c r="A77" s="16" t="s">
        <v>43</v>
      </c>
      <c r="B77" s="73" t="s">
        <v>32</v>
      </c>
      <c r="C77" s="87">
        <v>1680.8</v>
      </c>
      <c r="D77" s="87">
        <v>1680.8</v>
      </c>
      <c r="E77" s="23">
        <f t="shared" si="3"/>
        <v>0</v>
      </c>
      <c r="F77" s="104">
        <f t="shared" si="4"/>
        <v>1</v>
      </c>
    </row>
    <row r="78" spans="1:6" ht="80.25" customHeight="1" x14ac:dyDescent="0.25">
      <c r="A78" s="116" t="s">
        <v>20</v>
      </c>
      <c r="B78" s="120"/>
      <c r="C78" s="80">
        <f>C79</f>
        <v>1820.4</v>
      </c>
      <c r="D78" s="80">
        <f>D79</f>
        <v>1820.4</v>
      </c>
      <c r="E78" s="23">
        <f t="shared" si="3"/>
        <v>0</v>
      </c>
      <c r="F78" s="104">
        <f t="shared" si="4"/>
        <v>1</v>
      </c>
    </row>
    <row r="79" spans="1:6" ht="26.25" customHeight="1" x14ac:dyDescent="0.25">
      <c r="A79" s="16" t="s">
        <v>43</v>
      </c>
      <c r="B79" s="73" t="s">
        <v>32</v>
      </c>
      <c r="C79" s="87">
        <v>1820.4</v>
      </c>
      <c r="D79" s="87">
        <v>1820.4</v>
      </c>
      <c r="E79" s="23">
        <f t="shared" si="3"/>
        <v>0</v>
      </c>
      <c r="F79" s="104">
        <f t="shared" si="4"/>
        <v>1</v>
      </c>
    </row>
    <row r="80" spans="1:6" ht="78" customHeight="1" x14ac:dyDescent="0.25">
      <c r="A80" s="116" t="s">
        <v>54</v>
      </c>
      <c r="B80" s="120"/>
      <c r="C80" s="80">
        <f>C81</f>
        <v>2761.6</v>
      </c>
      <c r="D80" s="80">
        <f>D81</f>
        <v>2360.8000000000002</v>
      </c>
      <c r="E80" s="23">
        <f t="shared" si="3"/>
        <v>-400.79999999999973</v>
      </c>
      <c r="F80" s="104">
        <f t="shared" si="4"/>
        <v>0.85486674391657025</v>
      </c>
    </row>
    <row r="81" spans="1:8" ht="30.75" customHeight="1" x14ac:dyDescent="0.25">
      <c r="A81" s="16" t="s">
        <v>43</v>
      </c>
      <c r="B81" s="73" t="s">
        <v>32</v>
      </c>
      <c r="C81" s="87">
        <f>3372.7-611.1</f>
        <v>2761.6</v>
      </c>
      <c r="D81" s="87">
        <v>2360.8000000000002</v>
      </c>
      <c r="E81" s="23">
        <f t="shared" si="3"/>
        <v>-400.79999999999973</v>
      </c>
      <c r="F81" s="104">
        <f t="shared" si="4"/>
        <v>0.85486674391657025</v>
      </c>
    </row>
    <row r="82" spans="1:8" ht="61.5" customHeight="1" x14ac:dyDescent="0.25">
      <c r="A82" s="116" t="s">
        <v>28</v>
      </c>
      <c r="B82" s="120"/>
      <c r="C82" s="80">
        <f>C83</f>
        <v>6.2</v>
      </c>
      <c r="D82" s="80">
        <f>D83</f>
        <v>6.2</v>
      </c>
      <c r="E82" s="23">
        <f t="shared" si="3"/>
        <v>0</v>
      </c>
      <c r="F82" s="104">
        <f t="shared" si="4"/>
        <v>1</v>
      </c>
    </row>
    <row r="83" spans="1:8" ht="44.25" customHeight="1" x14ac:dyDescent="0.25">
      <c r="A83" s="16" t="s">
        <v>48</v>
      </c>
      <c r="B83" s="73" t="s">
        <v>34</v>
      </c>
      <c r="C83" s="87">
        <v>6.2</v>
      </c>
      <c r="D83" s="87">
        <v>6.2</v>
      </c>
      <c r="E83" s="23">
        <f t="shared" si="3"/>
        <v>0</v>
      </c>
      <c r="F83" s="104">
        <f t="shared" si="4"/>
        <v>1</v>
      </c>
    </row>
    <row r="84" spans="1:8" ht="93" customHeight="1" x14ac:dyDescent="0.25">
      <c r="A84" s="107" t="s">
        <v>56</v>
      </c>
      <c r="B84" s="115"/>
      <c r="C84" s="80">
        <f>C85</f>
        <v>2160</v>
      </c>
      <c r="D84" s="80">
        <f>D85</f>
        <v>2160</v>
      </c>
      <c r="E84" s="23">
        <f t="shared" si="3"/>
        <v>0</v>
      </c>
      <c r="F84" s="104">
        <f t="shared" si="4"/>
        <v>1</v>
      </c>
    </row>
    <row r="85" spans="1:8" ht="29.25" customHeight="1" x14ac:dyDescent="0.25">
      <c r="A85" s="16" t="s">
        <v>43</v>
      </c>
      <c r="B85" s="73" t="s">
        <v>32</v>
      </c>
      <c r="C85" s="87">
        <v>2160</v>
      </c>
      <c r="D85" s="87">
        <v>2160</v>
      </c>
      <c r="E85" s="23">
        <f t="shared" si="3"/>
        <v>0</v>
      </c>
      <c r="F85" s="104">
        <f t="shared" si="4"/>
        <v>1</v>
      </c>
    </row>
    <row r="86" spans="1:8" ht="69.75" customHeight="1" x14ac:dyDescent="0.25">
      <c r="A86" s="122" t="s">
        <v>155</v>
      </c>
      <c r="B86" s="123"/>
      <c r="C86" s="89">
        <f>C87</f>
        <v>587711.60000000009</v>
      </c>
      <c r="D86" s="89">
        <f>D87</f>
        <v>587711.6</v>
      </c>
      <c r="E86" s="23">
        <f t="shared" si="3"/>
        <v>0</v>
      </c>
      <c r="F86" s="104">
        <f t="shared" si="4"/>
        <v>0.99999999999999978</v>
      </c>
    </row>
    <row r="87" spans="1:8" ht="29.25" customHeight="1" x14ac:dyDescent="0.25">
      <c r="A87" s="68" t="s">
        <v>157</v>
      </c>
      <c r="B87" s="53" t="s">
        <v>156</v>
      </c>
      <c r="C87" s="90">
        <f>578705-1770.6-7841.2-228.6+18847</f>
        <v>587711.60000000009</v>
      </c>
      <c r="D87" s="90">
        <v>587711.6</v>
      </c>
      <c r="E87" s="23">
        <f t="shared" si="3"/>
        <v>0</v>
      </c>
      <c r="F87" s="104">
        <f t="shared" si="4"/>
        <v>0.99999999999999978</v>
      </c>
    </row>
    <row r="88" spans="1:8" ht="29.25" customHeight="1" x14ac:dyDescent="0.25">
      <c r="A88" s="122" t="s">
        <v>158</v>
      </c>
      <c r="B88" s="123"/>
      <c r="C88" s="89">
        <f>C89</f>
        <v>500857.3</v>
      </c>
      <c r="D88" s="89">
        <f>D89</f>
        <v>500857.3</v>
      </c>
      <c r="E88" s="23">
        <f t="shared" si="3"/>
        <v>0</v>
      </c>
      <c r="F88" s="104">
        <f t="shared" si="4"/>
        <v>1</v>
      </c>
    </row>
    <row r="89" spans="1:8" ht="29.25" customHeight="1" x14ac:dyDescent="0.25">
      <c r="A89" s="52" t="s">
        <v>157</v>
      </c>
      <c r="B89" s="53" t="s">
        <v>156</v>
      </c>
      <c r="C89" s="90">
        <f>510410.4-30532.7+20979.6</f>
        <v>500857.3</v>
      </c>
      <c r="D89" s="90">
        <v>500857.3</v>
      </c>
      <c r="E89" s="23">
        <f t="shared" si="3"/>
        <v>0</v>
      </c>
      <c r="F89" s="104">
        <f t="shared" si="4"/>
        <v>1</v>
      </c>
    </row>
    <row r="90" spans="1:8" ht="19.5" customHeight="1" x14ac:dyDescent="0.25">
      <c r="A90" s="1"/>
      <c r="B90" s="11" t="s">
        <v>26</v>
      </c>
      <c r="C90" s="80">
        <f>C91+C93+C95+C99+C101+C103+C106+C108+C110+C112+C115+C119+C121+C125+C130+C132+C134+C136+C138+C140+C142+C144+C146+C123</f>
        <v>2412247.9</v>
      </c>
      <c r="D90" s="80">
        <f>D91+D93+D95+D99+D101+D103+D106+D108+D110+D112+D115+D119+D121+D125+D130+D132+D134+D136+D138+D140+D142+D144+D146+D123</f>
        <v>2392025.3999999994</v>
      </c>
      <c r="E90" s="23">
        <f t="shared" si="3"/>
        <v>-20222.500000000466</v>
      </c>
      <c r="F90" s="104">
        <f t="shared" si="4"/>
        <v>0.99161674055141658</v>
      </c>
      <c r="H90" s="59"/>
    </row>
    <row r="91" spans="1:8" ht="33" customHeight="1" x14ac:dyDescent="0.25">
      <c r="A91" s="116" t="s">
        <v>65</v>
      </c>
      <c r="B91" s="120"/>
      <c r="C91" s="91">
        <f>C92</f>
        <v>113501.19999999998</v>
      </c>
      <c r="D91" s="91">
        <f>D92</f>
        <v>109677.1</v>
      </c>
      <c r="E91" s="23">
        <f t="shared" si="3"/>
        <v>-3824.0999999999767</v>
      </c>
      <c r="F91" s="104">
        <f t="shared" si="4"/>
        <v>0.96630784520339896</v>
      </c>
    </row>
    <row r="92" spans="1:8" ht="26.25" customHeight="1" x14ac:dyDescent="0.25">
      <c r="A92" s="16" t="s">
        <v>42</v>
      </c>
      <c r="B92" s="24" t="s">
        <v>35</v>
      </c>
      <c r="C92" s="92">
        <f>23735.9+32700+20888+19449.2+34867.5-18139.4</f>
        <v>113501.19999999998</v>
      </c>
      <c r="D92" s="92">
        <v>109677.1</v>
      </c>
      <c r="E92" s="23">
        <f t="shared" si="3"/>
        <v>-3824.0999999999767</v>
      </c>
      <c r="F92" s="104">
        <f t="shared" si="4"/>
        <v>0.96630784520339896</v>
      </c>
    </row>
    <row r="93" spans="1:8" ht="32.25" customHeight="1" x14ac:dyDescent="0.25">
      <c r="A93" s="116" t="s">
        <v>63</v>
      </c>
      <c r="B93" s="117"/>
      <c r="C93" s="91">
        <f>C94</f>
        <v>115699.70000000001</v>
      </c>
      <c r="D93" s="91">
        <f>D94</f>
        <v>136655.70000000001</v>
      </c>
      <c r="E93" s="23">
        <f t="shared" si="3"/>
        <v>20956</v>
      </c>
      <c r="F93" s="104">
        <f t="shared" si="4"/>
        <v>1.1811240651445076</v>
      </c>
    </row>
    <row r="94" spans="1:8" ht="21" customHeight="1" x14ac:dyDescent="0.25">
      <c r="A94" s="16" t="s">
        <v>42</v>
      </c>
      <c r="B94" s="24" t="s">
        <v>35</v>
      </c>
      <c r="C94" s="92">
        <f>117592.3+21537.9+7533.7-8709.2-22255</f>
        <v>115699.70000000001</v>
      </c>
      <c r="D94" s="92">
        <v>136655.70000000001</v>
      </c>
      <c r="E94" s="23">
        <f t="shared" si="3"/>
        <v>20956</v>
      </c>
      <c r="F94" s="104">
        <f t="shared" si="4"/>
        <v>1.1811240651445076</v>
      </c>
    </row>
    <row r="95" spans="1:8" ht="32.25" customHeight="1" x14ac:dyDescent="0.25">
      <c r="A95" s="116" t="s">
        <v>64</v>
      </c>
      <c r="B95" s="117"/>
      <c r="C95" s="91">
        <f>SUM(C96:C98)</f>
        <v>60965.1</v>
      </c>
      <c r="D95" s="91">
        <f>SUM(D96:D98)</f>
        <v>60965.1</v>
      </c>
      <c r="E95" s="23">
        <f t="shared" si="3"/>
        <v>0</v>
      </c>
      <c r="F95" s="104">
        <f t="shared" si="4"/>
        <v>1</v>
      </c>
    </row>
    <row r="96" spans="1:8" ht="17.25" customHeight="1" x14ac:dyDescent="0.25">
      <c r="A96" s="1" t="s">
        <v>42</v>
      </c>
      <c r="B96" s="24" t="s">
        <v>35</v>
      </c>
      <c r="C96" s="92">
        <f>36399+24566.1</f>
        <v>60965.1</v>
      </c>
      <c r="D96" s="92">
        <v>60965.1</v>
      </c>
      <c r="E96" s="23">
        <f t="shared" si="3"/>
        <v>0</v>
      </c>
      <c r="F96" s="104">
        <f t="shared" si="4"/>
        <v>1</v>
      </c>
    </row>
    <row r="97" spans="1:6" ht="42.75" customHeight="1" x14ac:dyDescent="0.25">
      <c r="A97" s="16" t="s">
        <v>159</v>
      </c>
      <c r="B97" s="24" t="s">
        <v>160</v>
      </c>
      <c r="C97" s="92">
        <f>2965.8-2965.8</f>
        <v>0</v>
      </c>
      <c r="D97" s="92"/>
      <c r="E97" s="23">
        <f t="shared" si="3"/>
        <v>0</v>
      </c>
      <c r="F97" s="104" t="e">
        <f t="shared" si="4"/>
        <v>#DIV/0!</v>
      </c>
    </row>
    <row r="98" spans="1:6" ht="42" customHeight="1" x14ac:dyDescent="0.25">
      <c r="A98" s="16" t="s">
        <v>161</v>
      </c>
      <c r="B98" s="24" t="s">
        <v>162</v>
      </c>
      <c r="C98" s="92">
        <f>12043.9-12043.9</f>
        <v>0</v>
      </c>
      <c r="D98" s="92"/>
      <c r="E98" s="23">
        <f t="shared" si="3"/>
        <v>0</v>
      </c>
      <c r="F98" s="104" t="e">
        <f t="shared" si="4"/>
        <v>#DIV/0!</v>
      </c>
    </row>
    <row r="99" spans="1:6" ht="33.75" customHeight="1" x14ac:dyDescent="0.25">
      <c r="A99" s="116" t="s">
        <v>66</v>
      </c>
      <c r="B99" s="117"/>
      <c r="C99" s="91">
        <f>C100</f>
        <v>387789.6</v>
      </c>
      <c r="D99" s="91">
        <f>D100</f>
        <v>363939.7</v>
      </c>
      <c r="E99" s="23">
        <f t="shared" si="3"/>
        <v>-23849.899999999965</v>
      </c>
      <c r="F99" s="104">
        <f t="shared" si="4"/>
        <v>0.93849783490841432</v>
      </c>
    </row>
    <row r="100" spans="1:6" ht="18.75" customHeight="1" x14ac:dyDescent="0.25">
      <c r="A100" s="16" t="s">
        <v>42</v>
      </c>
      <c r="B100" s="24" t="s">
        <v>35</v>
      </c>
      <c r="C100" s="92">
        <f>374603.1-24468.8+24468.8-16513.5+29700</f>
        <v>387789.6</v>
      </c>
      <c r="D100" s="92">
        <f>335429.9+28509.8</f>
        <v>363939.7</v>
      </c>
      <c r="E100" s="23">
        <f t="shared" si="3"/>
        <v>-23849.899999999965</v>
      </c>
      <c r="F100" s="104">
        <f t="shared" si="4"/>
        <v>0.93849783490841432</v>
      </c>
    </row>
    <row r="101" spans="1:6" ht="36.75" customHeight="1" x14ac:dyDescent="0.25">
      <c r="A101" s="116" t="s">
        <v>67</v>
      </c>
      <c r="B101" s="117"/>
      <c r="C101" s="91">
        <f>C102</f>
        <v>5533.1999999999989</v>
      </c>
      <c r="D101" s="91">
        <v>5533.2</v>
      </c>
      <c r="E101" s="23">
        <f t="shared" si="3"/>
        <v>0</v>
      </c>
      <c r="F101" s="104">
        <f t="shared" si="4"/>
        <v>1.0000000000000002</v>
      </c>
    </row>
    <row r="102" spans="1:6" ht="15.75" customHeight="1" x14ac:dyDescent="0.25">
      <c r="A102" s="16" t="s">
        <v>42</v>
      </c>
      <c r="B102" s="24" t="s">
        <v>35</v>
      </c>
      <c r="C102" s="92">
        <f>11815.5-1234.2-5048.1</f>
        <v>5533.1999999999989</v>
      </c>
      <c r="D102" s="92">
        <v>5533.2</v>
      </c>
      <c r="E102" s="23">
        <f t="shared" si="3"/>
        <v>0</v>
      </c>
      <c r="F102" s="104">
        <f t="shared" si="4"/>
        <v>1.0000000000000002</v>
      </c>
    </row>
    <row r="103" spans="1:6" ht="35.25" customHeight="1" x14ac:dyDescent="0.25">
      <c r="A103" s="107" t="s">
        <v>68</v>
      </c>
      <c r="B103" s="115"/>
      <c r="C103" s="91">
        <f>C104+C105</f>
        <v>1221.4000000000001</v>
      </c>
      <c r="D103" s="91">
        <f>D104+D105</f>
        <v>1221.4000000000001</v>
      </c>
      <c r="E103" s="23">
        <f t="shared" si="3"/>
        <v>0</v>
      </c>
      <c r="F103" s="104">
        <f t="shared" si="4"/>
        <v>1</v>
      </c>
    </row>
    <row r="104" spans="1:6" ht="31.5" customHeight="1" x14ac:dyDescent="0.25">
      <c r="A104" s="16" t="s">
        <v>42</v>
      </c>
      <c r="B104" s="24" t="s">
        <v>35</v>
      </c>
      <c r="C104" s="92">
        <v>1221.4000000000001</v>
      </c>
      <c r="D104" s="92">
        <v>1221.4000000000001</v>
      </c>
      <c r="E104" s="23">
        <f t="shared" si="3"/>
        <v>0</v>
      </c>
      <c r="F104" s="104">
        <f t="shared" si="4"/>
        <v>1</v>
      </c>
    </row>
    <row r="105" spans="1:6" ht="31.5" customHeight="1" x14ac:dyDescent="0.25">
      <c r="A105" s="16" t="s">
        <v>134</v>
      </c>
      <c r="B105" s="24" t="s">
        <v>135</v>
      </c>
      <c r="C105" s="92">
        <v>0</v>
      </c>
      <c r="D105" s="92"/>
      <c r="E105" s="23">
        <f t="shared" si="3"/>
        <v>0</v>
      </c>
      <c r="F105" s="104" t="e">
        <f t="shared" si="4"/>
        <v>#DIV/0!</v>
      </c>
    </row>
    <row r="106" spans="1:6" ht="49.5" customHeight="1" x14ac:dyDescent="0.25">
      <c r="A106" s="116" t="s">
        <v>70</v>
      </c>
      <c r="B106" s="117"/>
      <c r="C106" s="91">
        <f>C107</f>
        <v>3471.5</v>
      </c>
      <c r="D106" s="91">
        <f>D107</f>
        <v>3471.4</v>
      </c>
      <c r="E106" s="23">
        <f t="shared" si="3"/>
        <v>-9.9999999999909051E-2</v>
      </c>
      <c r="F106" s="104">
        <f t="shared" si="4"/>
        <v>0.99997119400835377</v>
      </c>
    </row>
    <row r="107" spans="1:6" ht="34.5" customHeight="1" x14ac:dyDescent="0.25">
      <c r="A107" s="16" t="s">
        <v>49</v>
      </c>
      <c r="B107" s="73" t="s">
        <v>57</v>
      </c>
      <c r="C107" s="92">
        <v>3471.5</v>
      </c>
      <c r="D107" s="92">
        <v>3471.4</v>
      </c>
      <c r="E107" s="23">
        <f t="shared" si="3"/>
        <v>-9.9999999999909051E-2</v>
      </c>
      <c r="F107" s="104">
        <f t="shared" si="4"/>
        <v>0.99997119400835377</v>
      </c>
    </row>
    <row r="108" spans="1:6" ht="38.25" customHeight="1" x14ac:dyDescent="0.25">
      <c r="A108" s="116" t="s">
        <v>71</v>
      </c>
      <c r="B108" s="117"/>
      <c r="C108" s="91">
        <f>C109</f>
        <v>12500</v>
      </c>
      <c r="D108" s="91">
        <f>D109</f>
        <v>12499.8</v>
      </c>
      <c r="E108" s="23">
        <f t="shared" si="3"/>
        <v>-0.2000000000007276</v>
      </c>
      <c r="F108" s="104">
        <f t="shared" si="4"/>
        <v>0.99998399999999998</v>
      </c>
    </row>
    <row r="109" spans="1:6" ht="16.5" customHeight="1" x14ac:dyDescent="0.25">
      <c r="A109" s="16" t="s">
        <v>42</v>
      </c>
      <c r="B109" s="24" t="s">
        <v>35</v>
      </c>
      <c r="C109" s="92">
        <f>15000-2500</f>
        <v>12500</v>
      </c>
      <c r="D109" s="92">
        <v>12499.8</v>
      </c>
      <c r="E109" s="23">
        <f t="shared" si="3"/>
        <v>-0.2000000000007276</v>
      </c>
      <c r="F109" s="104">
        <f t="shared" si="4"/>
        <v>0.99998399999999998</v>
      </c>
    </row>
    <row r="110" spans="1:6" ht="84" customHeight="1" x14ac:dyDescent="0.25">
      <c r="A110" s="116" t="s">
        <v>143</v>
      </c>
      <c r="B110" s="117"/>
      <c r="C110" s="91">
        <f>C111</f>
        <v>8817.7999999999993</v>
      </c>
      <c r="D110" s="91">
        <v>8817.7999999999993</v>
      </c>
      <c r="E110" s="23">
        <f t="shared" si="3"/>
        <v>0</v>
      </c>
      <c r="F110" s="104">
        <f t="shared" si="4"/>
        <v>1</v>
      </c>
    </row>
    <row r="111" spans="1:6" ht="21" customHeight="1" x14ac:dyDescent="0.25">
      <c r="A111" s="16" t="s">
        <v>42</v>
      </c>
      <c r="B111" s="24" t="s">
        <v>35</v>
      </c>
      <c r="C111" s="92">
        <f>6379+2438.8</f>
        <v>8817.7999999999993</v>
      </c>
      <c r="D111" s="92">
        <v>8817.7999999999993</v>
      </c>
      <c r="E111" s="23">
        <f t="shared" si="3"/>
        <v>0</v>
      </c>
      <c r="F111" s="104">
        <f t="shared" si="4"/>
        <v>1</v>
      </c>
    </row>
    <row r="112" spans="1:6" ht="32.25" customHeight="1" x14ac:dyDescent="0.25">
      <c r="A112" s="116" t="s">
        <v>58</v>
      </c>
      <c r="B112" s="117"/>
      <c r="C112" s="91">
        <f>C113+C114</f>
        <v>111345.09999999999</v>
      </c>
      <c r="D112" s="91">
        <f>D113+D114</f>
        <v>110354.7</v>
      </c>
      <c r="E112" s="23">
        <f t="shared" si="3"/>
        <v>-990.39999999999418</v>
      </c>
      <c r="F112" s="104">
        <f t="shared" si="4"/>
        <v>0.9911051317031464</v>
      </c>
    </row>
    <row r="113" spans="1:8" ht="27.75" customHeight="1" x14ac:dyDescent="0.25">
      <c r="A113" s="16" t="s">
        <v>42</v>
      </c>
      <c r="B113" s="24" t="s">
        <v>35</v>
      </c>
      <c r="C113" s="92">
        <f>81200-6220-3720-149.6</f>
        <v>71110.399999999994</v>
      </c>
      <c r="D113" s="92">
        <v>70120</v>
      </c>
      <c r="E113" s="23">
        <f t="shared" si="3"/>
        <v>-990.39999999999418</v>
      </c>
      <c r="F113" s="104">
        <f t="shared" si="4"/>
        <v>0.98607236072360727</v>
      </c>
    </row>
    <row r="114" spans="1:8" ht="36" customHeight="1" x14ac:dyDescent="0.25">
      <c r="A114" s="16" t="s">
        <v>72</v>
      </c>
      <c r="B114" s="60" t="s">
        <v>73</v>
      </c>
      <c r="C114" s="92">
        <f>42319.6-2084.9</f>
        <v>40234.699999999997</v>
      </c>
      <c r="D114" s="92">
        <v>40234.699999999997</v>
      </c>
      <c r="E114" s="23">
        <f t="shared" si="3"/>
        <v>0</v>
      </c>
      <c r="F114" s="104">
        <f t="shared" si="4"/>
        <v>1</v>
      </c>
    </row>
    <row r="115" spans="1:8" ht="36" customHeight="1" x14ac:dyDescent="0.25">
      <c r="A115" s="116" t="s">
        <v>69</v>
      </c>
      <c r="B115" s="117"/>
      <c r="C115" s="91">
        <f>SUM(C116:C118)</f>
        <v>501347.5</v>
      </c>
      <c r="D115" s="91">
        <f>SUM(D116:D118)</f>
        <v>505886.6</v>
      </c>
      <c r="E115" s="23">
        <f t="shared" si="3"/>
        <v>4539.0999999999767</v>
      </c>
      <c r="F115" s="104">
        <f t="shared" si="4"/>
        <v>1.0090538000089757</v>
      </c>
    </row>
    <row r="116" spans="1:8" ht="29.25" customHeight="1" x14ac:dyDescent="0.25">
      <c r="A116" s="16" t="s">
        <v>53</v>
      </c>
      <c r="B116" s="24" t="s">
        <v>23</v>
      </c>
      <c r="C116" s="92">
        <f>30000-30000+50000+44190.6+310438.3</f>
        <v>404628.9</v>
      </c>
      <c r="D116" s="92">
        <v>409168.1</v>
      </c>
      <c r="E116" s="23">
        <f t="shared" si="3"/>
        <v>4539.1999999999534</v>
      </c>
      <c r="F116" s="104">
        <f t="shared" si="4"/>
        <v>1.0112181804117302</v>
      </c>
    </row>
    <row r="117" spans="1:8" ht="71.25" customHeight="1" x14ac:dyDescent="0.25">
      <c r="A117" s="16" t="s">
        <v>163</v>
      </c>
      <c r="B117" s="24" t="s">
        <v>164</v>
      </c>
      <c r="C117" s="92">
        <f>14877.5-3379.7</f>
        <v>11497.8</v>
      </c>
      <c r="D117" s="92">
        <v>11497.8</v>
      </c>
      <c r="E117" s="23">
        <f t="shared" si="3"/>
        <v>0</v>
      </c>
      <c r="F117" s="104">
        <f t="shared" si="4"/>
        <v>1</v>
      </c>
    </row>
    <row r="118" spans="1:8" ht="57.75" customHeight="1" x14ac:dyDescent="0.25">
      <c r="A118" s="16" t="s">
        <v>165</v>
      </c>
      <c r="B118" s="24" t="s">
        <v>166</v>
      </c>
      <c r="C118" s="92">
        <v>85220.800000000003</v>
      </c>
      <c r="D118" s="92">
        <v>85220.7</v>
      </c>
      <c r="E118" s="23">
        <f t="shared" si="3"/>
        <v>-0.10000000000582077</v>
      </c>
      <c r="F118" s="104">
        <f t="shared" si="4"/>
        <v>0.99999882657754913</v>
      </c>
    </row>
    <row r="119" spans="1:8" ht="18.75" customHeight="1" x14ac:dyDescent="0.25">
      <c r="A119" s="116" t="s">
        <v>62</v>
      </c>
      <c r="B119" s="117"/>
      <c r="C119" s="91">
        <f>C120</f>
        <v>13674.3</v>
      </c>
      <c r="D119" s="91">
        <f>D120</f>
        <v>12749.2</v>
      </c>
      <c r="E119" s="23">
        <f t="shared" si="3"/>
        <v>-925.09999999999854</v>
      </c>
      <c r="F119" s="104">
        <f t="shared" si="4"/>
        <v>0.93234754247018137</v>
      </c>
    </row>
    <row r="120" spans="1:8" ht="19.5" customHeight="1" x14ac:dyDescent="0.25">
      <c r="A120" s="16" t="s">
        <v>42</v>
      </c>
      <c r="B120" s="24" t="s">
        <v>35</v>
      </c>
      <c r="C120" s="92">
        <f>10824+2850.3</f>
        <v>13674.3</v>
      </c>
      <c r="D120" s="92">
        <v>12749.2</v>
      </c>
      <c r="E120" s="23">
        <f t="shared" si="3"/>
        <v>-925.09999999999854</v>
      </c>
      <c r="F120" s="104">
        <f t="shared" si="4"/>
        <v>0.93234754247018137</v>
      </c>
    </row>
    <row r="121" spans="1:8" ht="30.75" customHeight="1" x14ac:dyDescent="0.25">
      <c r="A121" s="107" t="s">
        <v>178</v>
      </c>
      <c r="B121" s="115"/>
      <c r="C121" s="91">
        <f>C122</f>
        <v>169.5</v>
      </c>
      <c r="D121" s="91">
        <f>D122</f>
        <v>169.5</v>
      </c>
      <c r="E121" s="23">
        <f t="shared" si="3"/>
        <v>0</v>
      </c>
      <c r="F121" s="104">
        <f t="shared" si="4"/>
        <v>1</v>
      </c>
    </row>
    <row r="122" spans="1:8" ht="21.75" customHeight="1" x14ac:dyDescent="0.25">
      <c r="A122" s="16" t="s">
        <v>129</v>
      </c>
      <c r="B122" s="24" t="s">
        <v>130</v>
      </c>
      <c r="C122" s="92">
        <v>169.5</v>
      </c>
      <c r="D122" s="92">
        <v>169.5</v>
      </c>
      <c r="E122" s="23">
        <f t="shared" si="3"/>
        <v>0</v>
      </c>
      <c r="F122" s="104">
        <f t="shared" si="4"/>
        <v>1</v>
      </c>
    </row>
    <row r="123" spans="1:8" ht="21.75" customHeight="1" x14ac:dyDescent="0.25">
      <c r="A123" s="107" t="s">
        <v>59</v>
      </c>
      <c r="B123" s="115"/>
      <c r="C123" s="91">
        <f>C124</f>
        <v>1850</v>
      </c>
      <c r="D123" s="91">
        <f>D124</f>
        <v>1850</v>
      </c>
      <c r="E123" s="23">
        <f t="shared" si="3"/>
        <v>0</v>
      </c>
      <c r="F123" s="104">
        <f t="shared" si="4"/>
        <v>1</v>
      </c>
    </row>
    <row r="124" spans="1:8" ht="21.75" customHeight="1" x14ac:dyDescent="0.25">
      <c r="A124" s="16" t="s">
        <v>42</v>
      </c>
      <c r="B124" s="24" t="s">
        <v>35</v>
      </c>
      <c r="C124" s="92">
        <v>1850</v>
      </c>
      <c r="D124" s="92">
        <v>1850</v>
      </c>
      <c r="E124" s="23">
        <f t="shared" si="3"/>
        <v>0</v>
      </c>
      <c r="F124" s="104">
        <f t="shared" si="4"/>
        <v>1</v>
      </c>
    </row>
    <row r="125" spans="1:8" ht="34.5" customHeight="1" x14ac:dyDescent="0.25">
      <c r="A125" s="107" t="s">
        <v>132</v>
      </c>
      <c r="B125" s="115"/>
      <c r="C125" s="91">
        <f>SUM(C126:C129)</f>
        <v>182967.9</v>
      </c>
      <c r="D125" s="91">
        <f>SUM(D126:D129)</f>
        <v>166013.6</v>
      </c>
      <c r="E125" s="23">
        <f t="shared" si="3"/>
        <v>-16954.299999999988</v>
      </c>
      <c r="F125" s="104">
        <f t="shared" si="4"/>
        <v>0.90733729796319473</v>
      </c>
    </row>
    <row r="126" spans="1:8" ht="34.5" customHeight="1" x14ac:dyDescent="0.25">
      <c r="A126" s="16" t="s">
        <v>42</v>
      </c>
      <c r="B126" s="24" t="s">
        <v>35</v>
      </c>
      <c r="C126" s="92">
        <v>5646.7</v>
      </c>
      <c r="D126" s="92">
        <v>15457.5</v>
      </c>
      <c r="E126" s="23">
        <f t="shared" si="3"/>
        <v>9810.7999999999993</v>
      </c>
      <c r="F126" s="104">
        <f t="shared" si="4"/>
        <v>2.7374395664724531</v>
      </c>
      <c r="H126" s="67"/>
    </row>
    <row r="127" spans="1:8" ht="29.25" customHeight="1" x14ac:dyDescent="0.25">
      <c r="A127" s="16" t="s">
        <v>133</v>
      </c>
      <c r="B127" s="24" t="s">
        <v>131</v>
      </c>
      <c r="C127" s="92">
        <f>47624+5646.7-5646.7+26765</f>
        <v>74389</v>
      </c>
      <c r="D127" s="92">
        <v>47623.9</v>
      </c>
      <c r="E127" s="23">
        <f t="shared" si="3"/>
        <v>-26765.1</v>
      </c>
      <c r="F127" s="104">
        <f t="shared" si="4"/>
        <v>0.64020083614512902</v>
      </c>
    </row>
    <row r="128" spans="1:8" ht="29.25" customHeight="1" x14ac:dyDescent="0.25">
      <c r="A128" s="16" t="s">
        <v>171</v>
      </c>
      <c r="B128" s="24" t="s">
        <v>172</v>
      </c>
      <c r="C128" s="92">
        <v>102932.2</v>
      </c>
      <c r="D128" s="92">
        <v>102932.2</v>
      </c>
      <c r="E128" s="23">
        <f t="shared" si="3"/>
        <v>0</v>
      </c>
      <c r="F128" s="104">
        <f t="shared" si="4"/>
        <v>1</v>
      </c>
    </row>
    <row r="129" spans="1:6" ht="14.25" customHeight="1" x14ac:dyDescent="0.25">
      <c r="A129" s="16"/>
      <c r="B129" s="24"/>
      <c r="C129" s="92"/>
      <c r="D129" s="92"/>
      <c r="E129" s="23"/>
      <c r="F129" s="104"/>
    </row>
    <row r="130" spans="1:6" ht="36.75" customHeight="1" x14ac:dyDescent="0.25">
      <c r="A130" s="107" t="s">
        <v>149</v>
      </c>
      <c r="B130" s="115"/>
      <c r="C130" s="91">
        <f>C131</f>
        <v>4684.2</v>
      </c>
      <c r="D130" s="91">
        <f>D131</f>
        <v>4684.2</v>
      </c>
      <c r="E130" s="23">
        <f t="shared" si="3"/>
        <v>0</v>
      </c>
      <c r="F130" s="104">
        <f t="shared" si="4"/>
        <v>1</v>
      </c>
    </row>
    <row r="131" spans="1:6" ht="33.75" customHeight="1" x14ac:dyDescent="0.25">
      <c r="A131" s="65" t="s">
        <v>167</v>
      </c>
      <c r="B131" s="24" t="s">
        <v>168</v>
      </c>
      <c r="C131" s="92">
        <v>4684.2</v>
      </c>
      <c r="D131" s="92">
        <v>4684.2</v>
      </c>
      <c r="E131" s="23">
        <f t="shared" si="3"/>
        <v>0</v>
      </c>
      <c r="F131" s="104">
        <f t="shared" si="4"/>
        <v>1</v>
      </c>
    </row>
    <row r="132" spans="1:6" ht="33.75" customHeight="1" x14ac:dyDescent="0.25">
      <c r="A132" s="107" t="s">
        <v>136</v>
      </c>
      <c r="B132" s="109"/>
      <c r="C132" s="91">
        <f>C133</f>
        <v>18241.7</v>
      </c>
      <c r="D132" s="91">
        <f>D133</f>
        <v>16985.5</v>
      </c>
      <c r="E132" s="23">
        <f t="shared" si="3"/>
        <v>-1256.2000000000007</v>
      </c>
      <c r="F132" s="104">
        <f t="shared" si="4"/>
        <v>0.93113580422877251</v>
      </c>
    </row>
    <row r="133" spans="1:6" ht="27" customHeight="1" x14ac:dyDescent="0.25">
      <c r="A133" s="16" t="s">
        <v>42</v>
      </c>
      <c r="B133" s="24" t="s">
        <v>35</v>
      </c>
      <c r="C133" s="92">
        <f>18889.8-648.1</f>
        <v>18241.7</v>
      </c>
      <c r="D133" s="92">
        <v>16985.5</v>
      </c>
      <c r="E133" s="23">
        <f t="shared" si="3"/>
        <v>-1256.2000000000007</v>
      </c>
      <c r="F133" s="104">
        <f t="shared" si="4"/>
        <v>0.93113580422877251</v>
      </c>
    </row>
    <row r="134" spans="1:6" ht="27" customHeight="1" x14ac:dyDescent="0.25">
      <c r="A134" s="107" t="s">
        <v>137</v>
      </c>
      <c r="B134" s="109"/>
      <c r="C134" s="91">
        <f>C135</f>
        <v>24250</v>
      </c>
      <c r="D134" s="91">
        <f>D135</f>
        <v>26491.9</v>
      </c>
      <c r="E134" s="23">
        <f t="shared" si="3"/>
        <v>2241.9000000000015</v>
      </c>
      <c r="F134" s="104">
        <f t="shared" si="4"/>
        <v>1.0924494845360826</v>
      </c>
    </row>
    <row r="135" spans="1:6" ht="27" customHeight="1" x14ac:dyDescent="0.25">
      <c r="A135" s="16" t="s">
        <v>42</v>
      </c>
      <c r="B135" s="24" t="s">
        <v>35</v>
      </c>
      <c r="C135" s="92">
        <v>24250</v>
      </c>
      <c r="D135" s="92">
        <v>26491.9</v>
      </c>
      <c r="E135" s="23">
        <f t="shared" si="3"/>
        <v>2241.9000000000015</v>
      </c>
      <c r="F135" s="104">
        <f t="shared" si="4"/>
        <v>1.0924494845360826</v>
      </c>
    </row>
    <row r="136" spans="1:6" ht="27" customHeight="1" x14ac:dyDescent="0.25">
      <c r="A136" s="107" t="s">
        <v>138</v>
      </c>
      <c r="B136" s="109"/>
      <c r="C136" s="91">
        <f>C137</f>
        <v>23629.4</v>
      </c>
      <c r="D136" s="91">
        <f>D137</f>
        <v>23629.4</v>
      </c>
      <c r="E136" s="23">
        <f t="shared" si="3"/>
        <v>0</v>
      </c>
      <c r="F136" s="104">
        <f t="shared" si="4"/>
        <v>1</v>
      </c>
    </row>
    <row r="137" spans="1:6" ht="27" customHeight="1" x14ac:dyDescent="0.25">
      <c r="A137" s="16" t="s">
        <v>42</v>
      </c>
      <c r="B137" s="24" t="s">
        <v>35</v>
      </c>
      <c r="C137" s="92">
        <f>10879.3+12750.1</f>
        <v>23629.4</v>
      </c>
      <c r="D137" s="92">
        <v>23629.4</v>
      </c>
      <c r="E137" s="23">
        <f t="shared" ref="E137:E163" si="5">D137-C137</f>
        <v>0</v>
      </c>
      <c r="F137" s="104">
        <f t="shared" ref="F137:F163" si="6">D137/C137</f>
        <v>1</v>
      </c>
    </row>
    <row r="138" spans="1:6" ht="27" customHeight="1" x14ac:dyDescent="0.25">
      <c r="A138" s="107" t="s">
        <v>144</v>
      </c>
      <c r="B138" s="109"/>
      <c r="C138" s="91">
        <f>C139</f>
        <v>19691.3</v>
      </c>
      <c r="D138" s="91">
        <f>D139</f>
        <v>19691.3</v>
      </c>
      <c r="E138" s="23">
        <f t="shared" si="5"/>
        <v>0</v>
      </c>
      <c r="F138" s="104">
        <f t="shared" si="6"/>
        <v>1</v>
      </c>
    </row>
    <row r="139" spans="1:6" ht="27" customHeight="1" x14ac:dyDescent="0.25">
      <c r="A139" s="16" t="s">
        <v>42</v>
      </c>
      <c r="B139" s="24" t="s">
        <v>35</v>
      </c>
      <c r="C139" s="92">
        <v>19691.3</v>
      </c>
      <c r="D139" s="92">
        <v>19691.3</v>
      </c>
      <c r="E139" s="23">
        <f t="shared" si="5"/>
        <v>0</v>
      </c>
      <c r="F139" s="104">
        <f t="shared" si="6"/>
        <v>1</v>
      </c>
    </row>
    <row r="140" spans="1:6" ht="32.25" customHeight="1" x14ac:dyDescent="0.25">
      <c r="A140" s="107" t="s">
        <v>145</v>
      </c>
      <c r="B140" s="109"/>
      <c r="C140" s="91">
        <f>C141</f>
        <v>279.8</v>
      </c>
      <c r="D140" s="91">
        <f>D141</f>
        <v>279.8</v>
      </c>
      <c r="E140" s="23">
        <f t="shared" si="5"/>
        <v>0</v>
      </c>
      <c r="F140" s="104">
        <f t="shared" si="6"/>
        <v>1</v>
      </c>
    </row>
    <row r="141" spans="1:6" ht="27" customHeight="1" x14ac:dyDescent="0.25">
      <c r="A141" s="16" t="s">
        <v>42</v>
      </c>
      <c r="B141" s="24" t="s">
        <v>35</v>
      </c>
      <c r="C141" s="92">
        <v>279.8</v>
      </c>
      <c r="D141" s="92">
        <v>279.8</v>
      </c>
      <c r="E141" s="23">
        <f t="shared" si="5"/>
        <v>0</v>
      </c>
      <c r="F141" s="104">
        <f t="shared" si="6"/>
        <v>1</v>
      </c>
    </row>
    <row r="142" spans="1:6" ht="46.5" customHeight="1" x14ac:dyDescent="0.25">
      <c r="A142" s="110" t="s">
        <v>146</v>
      </c>
      <c r="B142" s="111"/>
      <c r="C142" s="91">
        <f>SUM(C143:C143)</f>
        <v>14820.099999999999</v>
      </c>
      <c r="D142" s="91">
        <f>SUM(D143:D143)</f>
        <v>14660.9</v>
      </c>
      <c r="E142" s="23">
        <f t="shared" si="5"/>
        <v>-159.19999999999891</v>
      </c>
      <c r="F142" s="104">
        <f t="shared" si="6"/>
        <v>0.9892578322683383</v>
      </c>
    </row>
    <row r="143" spans="1:6" ht="42" customHeight="1" x14ac:dyDescent="0.25">
      <c r="A143" s="16" t="s">
        <v>169</v>
      </c>
      <c r="B143" s="24" t="s">
        <v>170</v>
      </c>
      <c r="C143" s="92">
        <f>2424.4+644.4+11751.3</f>
        <v>14820.099999999999</v>
      </c>
      <c r="D143" s="92">
        <v>14660.9</v>
      </c>
      <c r="E143" s="23">
        <f t="shared" si="5"/>
        <v>-159.19999999999891</v>
      </c>
      <c r="F143" s="104">
        <f t="shared" si="6"/>
        <v>0.9892578322683383</v>
      </c>
    </row>
    <row r="144" spans="1:6" ht="36.75" customHeight="1" x14ac:dyDescent="0.25">
      <c r="A144" s="107" t="s">
        <v>147</v>
      </c>
      <c r="B144" s="109"/>
      <c r="C144" s="91">
        <f>C145</f>
        <v>721605.3</v>
      </c>
      <c r="D144" s="91">
        <f>D145</f>
        <v>721605.3</v>
      </c>
      <c r="E144" s="23">
        <f t="shared" si="5"/>
        <v>0</v>
      </c>
      <c r="F144" s="104">
        <f t="shared" si="6"/>
        <v>1</v>
      </c>
    </row>
    <row r="145" spans="1:11" ht="31.5" customHeight="1" x14ac:dyDescent="0.25">
      <c r="A145" s="16" t="s">
        <v>53</v>
      </c>
      <c r="B145" s="24" t="s">
        <v>23</v>
      </c>
      <c r="C145" s="92">
        <f>524360.4+194000+3244.9</f>
        <v>721605.3</v>
      </c>
      <c r="D145" s="92">
        <v>721605.3</v>
      </c>
      <c r="E145" s="23">
        <f t="shared" si="5"/>
        <v>0</v>
      </c>
      <c r="F145" s="104">
        <f t="shared" si="6"/>
        <v>1</v>
      </c>
    </row>
    <row r="146" spans="1:11" ht="47.25" customHeight="1" x14ac:dyDescent="0.25">
      <c r="A146" s="107" t="s">
        <v>148</v>
      </c>
      <c r="B146" s="109"/>
      <c r="C146" s="91">
        <f>C147</f>
        <v>64192.3</v>
      </c>
      <c r="D146" s="91">
        <f>D147</f>
        <v>64192.3</v>
      </c>
      <c r="E146" s="23">
        <f t="shared" si="5"/>
        <v>0</v>
      </c>
      <c r="F146" s="104">
        <f t="shared" si="6"/>
        <v>1</v>
      </c>
    </row>
    <row r="147" spans="1:11" ht="27" customHeight="1" x14ac:dyDescent="0.25">
      <c r="A147" s="16" t="s">
        <v>42</v>
      </c>
      <c r="B147" s="24" t="s">
        <v>35</v>
      </c>
      <c r="C147" s="92">
        <f>50000+14192.3</f>
        <v>64192.3</v>
      </c>
      <c r="D147" s="92">
        <v>64192.3</v>
      </c>
      <c r="E147" s="23">
        <f t="shared" si="5"/>
        <v>0</v>
      </c>
      <c r="F147" s="104">
        <f t="shared" si="6"/>
        <v>1</v>
      </c>
    </row>
    <row r="148" spans="1:11" ht="20.25" customHeight="1" x14ac:dyDescent="0.25">
      <c r="A148" s="1"/>
      <c r="B148" s="11" t="s">
        <v>75</v>
      </c>
      <c r="C148" s="91">
        <f>C149+C151+C155+C157+C153+C159</f>
        <v>34573</v>
      </c>
      <c r="D148" s="91">
        <f>D149+D151+D155+D157+D153+D159</f>
        <v>36336.300000000003</v>
      </c>
      <c r="E148" s="23">
        <f t="shared" si="5"/>
        <v>1763.3000000000029</v>
      </c>
      <c r="F148" s="104">
        <f t="shared" si="6"/>
        <v>1.0510022271714923</v>
      </c>
    </row>
    <row r="149" spans="1:11" ht="108.75" customHeight="1" x14ac:dyDescent="0.25">
      <c r="A149" s="107" t="s">
        <v>150</v>
      </c>
      <c r="B149" s="115"/>
      <c r="C149" s="80">
        <f>C150</f>
        <v>25587.7</v>
      </c>
      <c r="D149" s="80">
        <f>D150</f>
        <v>25048.3</v>
      </c>
      <c r="E149" s="23">
        <f t="shared" si="5"/>
        <v>-539.40000000000146</v>
      </c>
      <c r="F149" s="104">
        <f t="shared" si="6"/>
        <v>0.97891955900686656</v>
      </c>
    </row>
    <row r="150" spans="1:11" ht="46.5" customHeight="1" x14ac:dyDescent="0.25">
      <c r="A150" s="66" t="s">
        <v>61</v>
      </c>
      <c r="B150" s="28" t="s">
        <v>60</v>
      </c>
      <c r="C150" s="87">
        <f>15139.7+4000+7000-552</f>
        <v>25587.7</v>
      </c>
      <c r="D150" s="87">
        <v>25048.3</v>
      </c>
      <c r="E150" s="23">
        <f t="shared" si="5"/>
        <v>-539.40000000000146</v>
      </c>
      <c r="F150" s="104">
        <f t="shared" si="6"/>
        <v>0.97891955900686656</v>
      </c>
    </row>
    <row r="151" spans="1:11" ht="81.75" customHeight="1" x14ac:dyDescent="0.25">
      <c r="A151" s="112" t="s">
        <v>151</v>
      </c>
      <c r="B151" s="113"/>
      <c r="C151" s="80">
        <f>C152</f>
        <v>3726.6</v>
      </c>
      <c r="D151" s="80">
        <f>D152</f>
        <v>3573.3</v>
      </c>
      <c r="E151" s="23">
        <f t="shared" si="5"/>
        <v>-153.29999999999973</v>
      </c>
      <c r="F151" s="104">
        <f t="shared" si="6"/>
        <v>0.95886330703590417</v>
      </c>
      <c r="J151" s="107"/>
      <c r="K151" s="109"/>
    </row>
    <row r="152" spans="1:11" ht="53.25" customHeight="1" x14ac:dyDescent="0.25">
      <c r="A152" s="16" t="s">
        <v>127</v>
      </c>
      <c r="B152" s="73" t="s">
        <v>128</v>
      </c>
      <c r="C152" s="87">
        <v>3726.6</v>
      </c>
      <c r="D152" s="87">
        <v>3573.3</v>
      </c>
      <c r="E152" s="23">
        <f t="shared" si="5"/>
        <v>-153.29999999999973</v>
      </c>
      <c r="F152" s="104">
        <f t="shared" si="6"/>
        <v>0.95886330703590417</v>
      </c>
      <c r="J152" s="74"/>
      <c r="K152" s="69"/>
    </row>
    <row r="153" spans="1:11" ht="87.75" customHeight="1" x14ac:dyDescent="0.25">
      <c r="A153" s="107" t="s">
        <v>183</v>
      </c>
      <c r="B153" s="109"/>
      <c r="C153" s="80">
        <f>C154</f>
        <v>346.3</v>
      </c>
      <c r="D153" s="80">
        <f>D154</f>
        <v>268.8</v>
      </c>
      <c r="E153" s="23">
        <f t="shared" si="5"/>
        <v>-77.5</v>
      </c>
      <c r="F153" s="104">
        <f t="shared" si="6"/>
        <v>0.77620560207912215</v>
      </c>
      <c r="J153" s="71"/>
      <c r="K153" s="72"/>
    </row>
    <row r="154" spans="1:11" ht="91.5" customHeight="1" x14ac:dyDescent="0.25">
      <c r="A154" s="70" t="s">
        <v>185</v>
      </c>
      <c r="B154" s="76" t="s">
        <v>184</v>
      </c>
      <c r="C154" s="87">
        <v>346.3</v>
      </c>
      <c r="D154" s="87">
        <v>268.8</v>
      </c>
      <c r="E154" s="23">
        <f t="shared" si="5"/>
        <v>-77.5</v>
      </c>
      <c r="F154" s="104">
        <f t="shared" si="6"/>
        <v>0.77620560207912215</v>
      </c>
      <c r="J154" s="71"/>
      <c r="K154" s="72"/>
    </row>
    <row r="155" spans="1:11" ht="39" customHeight="1" x14ac:dyDescent="0.25">
      <c r="A155" s="107" t="s">
        <v>174</v>
      </c>
      <c r="B155" s="114"/>
      <c r="C155" s="80">
        <f>C156</f>
        <v>2969.9</v>
      </c>
      <c r="D155" s="80">
        <f>D156</f>
        <v>2969.9</v>
      </c>
      <c r="E155" s="23">
        <f t="shared" si="5"/>
        <v>0</v>
      </c>
      <c r="F155" s="104">
        <f t="shared" si="6"/>
        <v>1</v>
      </c>
    </row>
    <row r="156" spans="1:11" ht="26.25" customHeight="1" x14ac:dyDescent="0.25">
      <c r="A156" s="16" t="s">
        <v>175</v>
      </c>
      <c r="B156" s="73" t="s">
        <v>176</v>
      </c>
      <c r="C156" s="87">
        <v>2969.9</v>
      </c>
      <c r="D156" s="87">
        <v>2969.9</v>
      </c>
      <c r="E156" s="23">
        <f t="shared" si="5"/>
        <v>0</v>
      </c>
      <c r="F156" s="104">
        <f t="shared" si="6"/>
        <v>1</v>
      </c>
    </row>
    <row r="157" spans="1:11" ht="33" customHeight="1" x14ac:dyDescent="0.25">
      <c r="A157" s="107" t="s">
        <v>177</v>
      </c>
      <c r="B157" s="108"/>
      <c r="C157" s="80">
        <f>C158</f>
        <v>1942.5</v>
      </c>
      <c r="D157" s="80">
        <f>D158</f>
        <v>1942.5</v>
      </c>
      <c r="E157" s="23">
        <f t="shared" si="5"/>
        <v>0</v>
      </c>
      <c r="F157" s="104">
        <f t="shared" si="6"/>
        <v>1</v>
      </c>
    </row>
    <row r="158" spans="1:11" ht="26.25" customHeight="1" x14ac:dyDescent="0.25">
      <c r="A158" s="16" t="s">
        <v>175</v>
      </c>
      <c r="B158" s="73" t="s">
        <v>176</v>
      </c>
      <c r="C158" s="87">
        <v>1942.5</v>
      </c>
      <c r="D158" s="87">
        <v>1942.5</v>
      </c>
      <c r="E158" s="23">
        <f t="shared" si="5"/>
        <v>0</v>
      </c>
      <c r="F158" s="104">
        <f t="shared" si="6"/>
        <v>1</v>
      </c>
    </row>
    <row r="159" spans="1:11" ht="26.25" customHeight="1" x14ac:dyDescent="0.25">
      <c r="A159" s="124" t="s">
        <v>193</v>
      </c>
      <c r="B159" s="125"/>
      <c r="C159" s="80">
        <f>C160</f>
        <v>0</v>
      </c>
      <c r="D159" s="80">
        <f>D160</f>
        <v>2533.5</v>
      </c>
      <c r="E159" s="23">
        <f t="shared" si="5"/>
        <v>2533.5</v>
      </c>
      <c r="F159" s="104">
        <v>0</v>
      </c>
    </row>
    <row r="160" spans="1:11" ht="26.25" customHeight="1" x14ac:dyDescent="0.25">
      <c r="A160" s="16" t="s">
        <v>175</v>
      </c>
      <c r="B160" s="73" t="s">
        <v>176</v>
      </c>
      <c r="C160" s="87"/>
      <c r="D160" s="87">
        <v>2533.5</v>
      </c>
      <c r="E160" s="23">
        <f t="shared" si="5"/>
        <v>2533.5</v>
      </c>
      <c r="F160" s="104">
        <v>0</v>
      </c>
    </row>
    <row r="161" spans="1:8" ht="34.5" customHeight="1" x14ac:dyDescent="0.25">
      <c r="A161" s="13" t="s">
        <v>74</v>
      </c>
      <c r="B161" s="11" t="s">
        <v>173</v>
      </c>
      <c r="C161" s="80">
        <v>0</v>
      </c>
      <c r="D161" s="80">
        <v>0</v>
      </c>
      <c r="E161" s="23">
        <f t="shared" si="5"/>
        <v>0</v>
      </c>
      <c r="F161" s="104">
        <v>0</v>
      </c>
    </row>
    <row r="162" spans="1:8" ht="31.5" x14ac:dyDescent="0.25">
      <c r="A162" s="25" t="s">
        <v>51</v>
      </c>
      <c r="B162" s="19" t="s">
        <v>31</v>
      </c>
      <c r="C162" s="93">
        <v>529.9</v>
      </c>
      <c r="D162" s="93">
        <v>529.9</v>
      </c>
      <c r="E162" s="23">
        <f t="shared" si="5"/>
        <v>0</v>
      </c>
      <c r="F162" s="104">
        <f t="shared" si="6"/>
        <v>1</v>
      </c>
    </row>
    <row r="163" spans="1:8" ht="47.25" x14ac:dyDescent="0.25">
      <c r="A163" s="25" t="s">
        <v>50</v>
      </c>
      <c r="B163" s="19" t="s">
        <v>154</v>
      </c>
      <c r="C163" s="93">
        <v>-5471.5</v>
      </c>
      <c r="D163" s="93">
        <v>-5528.3</v>
      </c>
      <c r="E163" s="23">
        <f t="shared" si="5"/>
        <v>-56.800000000000182</v>
      </c>
      <c r="F163" s="104">
        <f t="shared" si="6"/>
        <v>1.0103810655213379</v>
      </c>
      <c r="H163" s="61"/>
    </row>
    <row r="164" spans="1:8" ht="19.5" customHeight="1" x14ac:dyDescent="0.3">
      <c r="B164" s="26" t="s">
        <v>24</v>
      </c>
      <c r="C164" s="94">
        <f>C8+C53+C54+C56+C90+C148+C161+C162+C163+C55</f>
        <v>5665646.2000000011</v>
      </c>
      <c r="D164" s="94">
        <f>D8+D53+D54+D56+D90+D148+D161+D162+D163+D55</f>
        <v>5644304.6999299992</v>
      </c>
      <c r="E164" s="94">
        <f>E8+E53+E54+E56+E90+E148+E161+E162+E163+E55</f>
        <v>-21341.500070000646</v>
      </c>
      <c r="F164" s="27"/>
    </row>
    <row r="165" spans="1:8" ht="24" customHeight="1" x14ac:dyDescent="0.2"/>
    <row r="168" spans="1:8" ht="18.75" hidden="1" x14ac:dyDescent="0.3">
      <c r="B168" s="62">
        <v>15001</v>
      </c>
      <c r="C168" s="95">
        <f t="shared" ref="C168:D170" si="7">C53</f>
        <v>829820</v>
      </c>
      <c r="D168" s="95">
        <f t="shared" si="7"/>
        <v>829820</v>
      </c>
      <c r="E168" s="63"/>
      <c r="F168" s="63"/>
    </row>
    <row r="169" spans="1:8" ht="18.75" hidden="1" x14ac:dyDescent="0.3">
      <c r="B169" s="62">
        <v>15002</v>
      </c>
      <c r="C169" s="95">
        <f t="shared" si="7"/>
        <v>395054.4</v>
      </c>
      <c r="D169" s="95">
        <f t="shared" si="7"/>
        <v>395054.4</v>
      </c>
      <c r="E169" s="63"/>
      <c r="F169" s="63"/>
    </row>
    <row r="170" spans="1:8" ht="18.75" hidden="1" x14ac:dyDescent="0.3">
      <c r="B170" s="62">
        <v>16549</v>
      </c>
      <c r="C170" s="95">
        <f t="shared" si="7"/>
        <v>400</v>
      </c>
      <c r="D170" s="95">
        <f t="shared" si="7"/>
        <v>400</v>
      </c>
      <c r="E170" s="63"/>
      <c r="F170" s="63"/>
    </row>
    <row r="171" spans="1:8" ht="18.75" hidden="1" x14ac:dyDescent="0.3">
      <c r="B171" s="62">
        <v>20077</v>
      </c>
      <c r="C171" s="95">
        <f>C145+C116</f>
        <v>1126234.2000000002</v>
      </c>
      <c r="D171" s="95">
        <f>D145+D116</f>
        <v>1130773.3999999999</v>
      </c>
      <c r="E171" s="63"/>
      <c r="F171" s="63"/>
    </row>
    <row r="172" spans="1:8" ht="18.75" hidden="1" x14ac:dyDescent="0.3">
      <c r="B172" s="62">
        <v>20303</v>
      </c>
      <c r="C172" s="95">
        <f>C98</f>
        <v>0</v>
      </c>
      <c r="D172" s="95"/>
      <c r="E172" s="63"/>
      <c r="F172" s="63"/>
    </row>
    <row r="173" spans="1:8" ht="18.75" hidden="1" x14ac:dyDescent="0.3">
      <c r="B173" s="62">
        <v>25372</v>
      </c>
      <c r="C173" s="95">
        <f>C129</f>
        <v>0</v>
      </c>
      <c r="D173" s="95"/>
      <c r="E173" s="63"/>
      <c r="F173" s="63"/>
    </row>
    <row r="174" spans="1:8" ht="18.75" hidden="1" x14ac:dyDescent="0.3">
      <c r="B174" s="62">
        <v>25511</v>
      </c>
      <c r="C174" s="95">
        <f>C105</f>
        <v>0</v>
      </c>
      <c r="D174" s="95"/>
      <c r="E174" s="63"/>
      <c r="F174" s="63"/>
    </row>
    <row r="175" spans="1:8" ht="18.75" hidden="1" x14ac:dyDescent="0.3">
      <c r="B175" s="62">
        <v>30024</v>
      </c>
      <c r="C175" s="95">
        <f>C85+C81+C79+C77+C75+C73+C71+C69+C67+C65+C62+C58</f>
        <v>54315.400000000009</v>
      </c>
      <c r="D175" s="95">
        <f>D85+D81+D79+D77+D75+D73+D71+D69+D67+D65+D62+D58</f>
        <v>53201.5</v>
      </c>
      <c r="E175" s="63"/>
      <c r="F175" s="63"/>
    </row>
    <row r="176" spans="1:8" ht="18.75" hidden="1" x14ac:dyDescent="0.3">
      <c r="B176" s="62">
        <v>30027</v>
      </c>
      <c r="C176" s="95">
        <f t="shared" ref="C176:D177" si="8">C59</f>
        <v>87177.8</v>
      </c>
      <c r="D176" s="95">
        <f t="shared" si="8"/>
        <v>76104.5</v>
      </c>
      <c r="E176" s="63"/>
      <c r="F176" s="63"/>
    </row>
    <row r="177" spans="2:6" ht="18.75" hidden="1" x14ac:dyDescent="0.3">
      <c r="B177" s="62">
        <v>35082</v>
      </c>
      <c r="C177" s="95">
        <f t="shared" si="8"/>
        <v>32165</v>
      </c>
      <c r="D177" s="95">
        <f t="shared" si="8"/>
        <v>32165</v>
      </c>
      <c r="E177" s="63"/>
      <c r="F177" s="63"/>
    </row>
    <row r="178" spans="2:6" ht="18.75" hidden="1" x14ac:dyDescent="0.3">
      <c r="B178" s="62">
        <v>35120</v>
      </c>
      <c r="C178" s="95">
        <f>C83</f>
        <v>6.2</v>
      </c>
      <c r="D178" s="95">
        <f>D83</f>
        <v>6.2</v>
      </c>
      <c r="E178" s="63"/>
      <c r="F178" s="63"/>
    </row>
    <row r="179" spans="2:6" ht="18.75" hidden="1" x14ac:dyDescent="0.3">
      <c r="B179" s="62">
        <v>39999</v>
      </c>
      <c r="C179" s="95">
        <f>C89+C87</f>
        <v>1088568.9000000001</v>
      </c>
      <c r="D179" s="95">
        <f>D89+D87</f>
        <v>1088568.8999999999</v>
      </c>
      <c r="E179" s="63"/>
      <c r="F179" s="63"/>
    </row>
    <row r="180" spans="2:6" ht="18.75" hidden="1" x14ac:dyDescent="0.3">
      <c r="B180" s="62">
        <v>20299</v>
      </c>
      <c r="C180" s="95">
        <f t="shared" ref="C180:D181" si="9">C117</f>
        <v>11497.8</v>
      </c>
      <c r="D180" s="95">
        <f t="shared" si="9"/>
        <v>11497.8</v>
      </c>
      <c r="E180" s="63"/>
      <c r="F180" s="63"/>
    </row>
    <row r="181" spans="2:6" ht="18.75" hidden="1" x14ac:dyDescent="0.3">
      <c r="B181" s="62">
        <v>20302</v>
      </c>
      <c r="C181" s="95">
        <f t="shared" si="9"/>
        <v>85220.800000000003</v>
      </c>
      <c r="D181" s="95">
        <f t="shared" si="9"/>
        <v>85220.7</v>
      </c>
      <c r="E181" s="63"/>
      <c r="F181" s="63"/>
    </row>
    <row r="182" spans="2:6" ht="18.75" hidden="1" x14ac:dyDescent="0.3">
      <c r="B182" s="62">
        <v>25027</v>
      </c>
      <c r="C182" s="95">
        <f>C107</f>
        <v>3471.5</v>
      </c>
      <c r="D182" s="95">
        <f>D107</f>
        <v>3471.4</v>
      </c>
      <c r="E182" s="63"/>
      <c r="F182" s="63"/>
    </row>
    <row r="183" spans="2:6" ht="18.75" hidden="1" x14ac:dyDescent="0.3">
      <c r="B183" s="62">
        <v>25304</v>
      </c>
      <c r="C183" s="95">
        <f>C143</f>
        <v>14820.099999999999</v>
      </c>
      <c r="D183" s="95">
        <f>D143</f>
        <v>14660.9</v>
      </c>
      <c r="E183" s="63"/>
      <c r="F183" s="63"/>
    </row>
    <row r="184" spans="2:6" ht="18.75" hidden="1" x14ac:dyDescent="0.3">
      <c r="B184" s="62">
        <v>25519</v>
      </c>
      <c r="C184" s="95">
        <f>C122</f>
        <v>169.5</v>
      </c>
      <c r="D184" s="95">
        <f>D122</f>
        <v>169.5</v>
      </c>
      <c r="E184" s="63"/>
      <c r="F184" s="63"/>
    </row>
    <row r="185" spans="2:6" ht="18.75" hidden="1" x14ac:dyDescent="0.3">
      <c r="B185" s="62">
        <v>25555</v>
      </c>
      <c r="C185" s="95">
        <f>C114</f>
        <v>40234.699999999997</v>
      </c>
      <c r="D185" s="95">
        <f>D114</f>
        <v>40234.699999999997</v>
      </c>
      <c r="E185" s="63"/>
      <c r="F185" s="63"/>
    </row>
    <row r="186" spans="2:6" ht="18.75" hidden="1" x14ac:dyDescent="0.3">
      <c r="B186" s="62">
        <v>25576</v>
      </c>
      <c r="C186" s="95">
        <f>C127</f>
        <v>74389</v>
      </c>
      <c r="D186" s="95">
        <f>D127</f>
        <v>47623.9</v>
      </c>
      <c r="E186" s="63"/>
      <c r="F186" s="63"/>
    </row>
    <row r="187" spans="2:6" ht="18.75" hidden="1" x14ac:dyDescent="0.3">
      <c r="B187" s="62">
        <v>29999</v>
      </c>
      <c r="C187" s="95">
        <f>C147+C141+C139+C137+C135+C133+C120+C113+C111+C109+C104+C102+C100+C96+C94+C92+C126+C124</f>
        <v>948593.89999999991</v>
      </c>
      <c r="D187" s="95">
        <f>D147+D141+D139+D137+D135+D133+D120+D113+D111+D109+D104+D102+D100+D96+D94+D92+D126+D124</f>
        <v>950756.70000000007</v>
      </c>
      <c r="E187" s="63"/>
      <c r="F187" s="63"/>
    </row>
    <row r="188" spans="2:6" ht="18.75" hidden="1" x14ac:dyDescent="0.3">
      <c r="B188" s="62">
        <v>45179</v>
      </c>
      <c r="C188" s="95">
        <f>C152</f>
        <v>3726.6</v>
      </c>
      <c r="D188" s="95">
        <f>D152</f>
        <v>3573.3</v>
      </c>
      <c r="E188" s="63"/>
      <c r="F188" s="63"/>
    </row>
    <row r="189" spans="2:6" ht="18.75" hidden="1" x14ac:dyDescent="0.3">
      <c r="B189" s="62">
        <v>45303</v>
      </c>
      <c r="C189" s="95">
        <f>C150</f>
        <v>25587.7</v>
      </c>
      <c r="D189" s="95">
        <f>D150</f>
        <v>25048.3</v>
      </c>
      <c r="E189" s="63"/>
      <c r="F189" s="63"/>
    </row>
    <row r="190" spans="2:6" ht="18.75" hidden="1" x14ac:dyDescent="0.3">
      <c r="B190" s="62">
        <v>20300</v>
      </c>
      <c r="C190" s="95">
        <f>C97</f>
        <v>0</v>
      </c>
      <c r="D190" s="95"/>
      <c r="E190" s="63"/>
      <c r="F190" s="63"/>
    </row>
    <row r="191" spans="2:6" ht="18.75" hidden="1" x14ac:dyDescent="0.3">
      <c r="B191" s="62">
        <v>25394</v>
      </c>
      <c r="C191" s="95">
        <v>0</v>
      </c>
      <c r="D191" s="95"/>
      <c r="E191" s="63"/>
      <c r="F191" s="63"/>
    </row>
    <row r="192" spans="2:6" ht="18.75" hidden="1" x14ac:dyDescent="0.3">
      <c r="B192" s="62">
        <v>30029</v>
      </c>
      <c r="C192" s="95">
        <f>C63</f>
        <v>27479</v>
      </c>
      <c r="D192" s="95">
        <f>D63</f>
        <v>26468.5</v>
      </c>
      <c r="E192" s="63"/>
      <c r="F192" s="63"/>
    </row>
    <row r="193" spans="2:6" ht="18.75" hidden="1" x14ac:dyDescent="0.3">
      <c r="B193" s="62">
        <v>27576</v>
      </c>
      <c r="C193" s="95">
        <f>C128</f>
        <v>102932.2</v>
      </c>
      <c r="D193" s="95">
        <f>D128</f>
        <v>102932.2</v>
      </c>
      <c r="E193" s="63"/>
      <c r="F193" s="63"/>
    </row>
    <row r="194" spans="2:6" ht="18.75" hidden="1" x14ac:dyDescent="0.3">
      <c r="B194" s="62">
        <v>45050</v>
      </c>
      <c r="C194" s="95">
        <f>C154</f>
        <v>346.3</v>
      </c>
      <c r="D194" s="95">
        <f>D154</f>
        <v>268.8</v>
      </c>
      <c r="E194" s="63"/>
      <c r="F194" s="63"/>
    </row>
    <row r="195" spans="2:6" ht="18.75" hidden="1" x14ac:dyDescent="0.3">
      <c r="B195" s="62">
        <v>49999</v>
      </c>
      <c r="C195" s="95">
        <f>C156+C158</f>
        <v>4912.3999999999996</v>
      </c>
      <c r="D195" s="95">
        <f>D156+D158+D160</f>
        <v>7445.9</v>
      </c>
      <c r="E195" s="63"/>
      <c r="F195" s="63"/>
    </row>
    <row r="196" spans="2:6" ht="18.75" hidden="1" x14ac:dyDescent="0.3">
      <c r="B196" s="62">
        <v>25497</v>
      </c>
      <c r="C196" s="95">
        <f>C131</f>
        <v>4684.2</v>
      </c>
      <c r="D196" s="95">
        <f>D131</f>
        <v>4684.2</v>
      </c>
      <c r="E196" s="63"/>
      <c r="F196" s="63"/>
    </row>
    <row r="197" spans="2:6" ht="18.75" hidden="1" x14ac:dyDescent="0.3">
      <c r="B197" s="62"/>
      <c r="C197" s="96">
        <f>SUBTOTAL(9,C168:C196)</f>
        <v>4961807.6000000006</v>
      </c>
      <c r="D197" s="96">
        <f>SUBTOTAL(9,D168:D196)</f>
        <v>4930150.7</v>
      </c>
      <c r="E197" s="64"/>
      <c r="F197" s="64"/>
    </row>
    <row r="199" spans="2:6" x14ac:dyDescent="0.2">
      <c r="C199" s="97"/>
      <c r="D199" s="97"/>
    </row>
    <row r="200" spans="2:6" x14ac:dyDescent="0.2">
      <c r="C200" s="98"/>
      <c r="D200" s="98"/>
    </row>
    <row r="202" spans="2:6" x14ac:dyDescent="0.2">
      <c r="C202" s="98"/>
      <c r="D202" s="98"/>
    </row>
  </sheetData>
  <mergeCells count="47">
    <mergeCell ref="A159:B159"/>
    <mergeCell ref="A76:B76"/>
    <mergeCell ref="A93:B93"/>
    <mergeCell ref="A95:B95"/>
    <mergeCell ref="A99:B99"/>
    <mergeCell ref="A101:B101"/>
    <mergeCell ref="A78:B78"/>
    <mergeCell ref="A80:B80"/>
    <mergeCell ref="A82:B82"/>
    <mergeCell ref="A91:B91"/>
    <mergeCell ref="A84:B84"/>
    <mergeCell ref="A86:B86"/>
    <mergeCell ref="A88:B88"/>
    <mergeCell ref="A5:F5"/>
    <mergeCell ref="A68:B68"/>
    <mergeCell ref="A70:B70"/>
    <mergeCell ref="A72:B72"/>
    <mergeCell ref="A74:B74"/>
    <mergeCell ref="A57:B57"/>
    <mergeCell ref="A61:B61"/>
    <mergeCell ref="A64:B64"/>
    <mergeCell ref="A66:B66"/>
    <mergeCell ref="A103:B103"/>
    <mergeCell ref="A115:B115"/>
    <mergeCell ref="A119:B119"/>
    <mergeCell ref="A106:B106"/>
    <mergeCell ref="A108:B108"/>
    <mergeCell ref="A110:B110"/>
    <mergeCell ref="A112:B112"/>
    <mergeCell ref="J151:K151"/>
    <mergeCell ref="A153:B153"/>
    <mergeCell ref="A121:B121"/>
    <mergeCell ref="A132:B132"/>
    <mergeCell ref="A134:B134"/>
    <mergeCell ref="A136:B136"/>
    <mergeCell ref="A138:B138"/>
    <mergeCell ref="A123:B123"/>
    <mergeCell ref="A125:B125"/>
    <mergeCell ref="A130:B130"/>
    <mergeCell ref="A157:B157"/>
    <mergeCell ref="A140:B140"/>
    <mergeCell ref="A142:B142"/>
    <mergeCell ref="A151:B151"/>
    <mergeCell ref="A155:B155"/>
    <mergeCell ref="A149:B149"/>
    <mergeCell ref="A144:B144"/>
    <mergeCell ref="A146:B146"/>
  </mergeCells>
  <phoneticPr fontId="4" type="noConversion"/>
  <printOptions horizontalCentered="1"/>
  <pageMargins left="0.25" right="0.25" top="0.75" bottom="0.75" header="0.3" footer="0.3"/>
  <pageSetup paperSize="9" scale="56" fitToHeight="0" orientation="portrait" r:id="rId1"/>
  <headerFooter alignWithMargins="0">
    <oddFooter>Страница &amp;P</oddFooter>
  </headerFooter>
  <rowBreaks count="2" manualBreakCount="2">
    <brk id="73" max="4" man="1"/>
    <brk id="103" max="4"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2024</vt:lpstr>
      <vt:lpstr>'2024'!Заголовки_для_печати</vt:lpstr>
      <vt:lpstr>'2024'!Область_печати</vt:lpstr>
    </vt:vector>
  </TitlesOfParts>
  <Company>ГОУЭС</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default</dc:creator>
  <cp:lastModifiedBy>Евгения Александровна Минина</cp:lastModifiedBy>
  <cp:lastPrinted>2025-01-20T21:54:01Z</cp:lastPrinted>
  <dcterms:created xsi:type="dcterms:W3CDTF">2003-11-27T05:43:56Z</dcterms:created>
  <dcterms:modified xsi:type="dcterms:W3CDTF">2025-03-27T22:40:27Z</dcterms:modified>
</cp:coreProperties>
</file>